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codeName="ThisWorkbook" defaultThemeVersion="166925"/>
  <mc:AlternateContent xmlns:mc="http://schemas.openxmlformats.org/markup-compatibility/2006">
    <mc:Choice Requires="x15">
      <x15ac:absPath xmlns:x15ac="http://schemas.microsoft.com/office/spreadsheetml/2010/11/ac" url="/Users/florianpayen/Documents/Code/hestia-earth/hestia-data/joseph-poore/Poore_unpub/"/>
    </mc:Choice>
  </mc:AlternateContent>
  <xr:revisionPtr revIDLastSave="0" documentId="13_ncr:1_{7204A018-3B69-B542-B36A-C9C86378CEDE}" xr6:coauthVersionLast="47" xr6:coauthVersionMax="47" xr10:uidLastSave="{00000000-0000-0000-0000-000000000000}"/>
  <bookViews>
    <workbookView xWindow="0" yWindow="760" windowWidth="29400" windowHeight="17100" xr2:uid="{00000000-000D-0000-FFFF-FFFF00000000}"/>
  </bookViews>
  <sheets>
    <sheet name="N_Leaching_Test_Data_9" sheetId="1" r:id="rId1"/>
  </sheets>
  <externalReferences>
    <externalReference r:id="rId2"/>
  </externalReferences>
  <definedNames>
    <definedName name="_xlnm._FilterDatabase" localSheetId="0" hidden="1">N_Leaching_Test_Data_9!$A$1:$KK$599</definedName>
    <definedName name="DryMatter_WWheat">#REF!</definedName>
    <definedName name="In_Metres">#REF!</definedName>
    <definedName name="Intercept_WWheat">#REF!</definedName>
    <definedName name="Lbacre_kgha">[1]Assumptions!$D$4</definedName>
    <definedName name="NAbove_Rapeseed">#REF!</definedName>
    <definedName name="NAbove_WWheat">#REF!</definedName>
    <definedName name="Slope_Rapeseed">#REF!</definedName>
    <definedName name="Slope_WWheat">#REF!</definedName>
    <definedName name="SOM_SO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R209" i="1" l="1"/>
  <c r="CR208" i="1"/>
  <c r="CR191" i="1"/>
  <c r="CR190" i="1"/>
  <c r="DL116" i="1" l="1"/>
  <c r="DG116" i="1"/>
  <c r="DB116" i="1"/>
  <c r="DL115" i="1"/>
  <c r="DG115" i="1"/>
  <c r="DB115" i="1"/>
  <c r="DL114" i="1"/>
  <c r="DG114" i="1"/>
  <c r="DB114" i="1"/>
  <c r="DL113" i="1"/>
  <c r="DG113" i="1"/>
  <c r="DB113" i="1"/>
  <c r="IV5" i="1"/>
  <c r="IV4" i="1"/>
  <c r="IV3" i="1"/>
  <c r="AZ7" i="1"/>
  <c r="AZ6" i="1"/>
  <c r="AZ5" i="1"/>
  <c r="AZ4" i="1"/>
  <c r="AZ3" i="1"/>
  <c r="AZ2" i="1"/>
  <c r="FQ214" i="1"/>
  <c r="FQ213" i="1"/>
  <c r="FQ212" i="1"/>
  <c r="FQ211" i="1"/>
  <c r="FQ210" i="1"/>
  <c r="FQ209" i="1"/>
  <c r="FQ208" i="1"/>
  <c r="FQ207" i="1"/>
  <c r="FQ206" i="1"/>
  <c r="FQ205" i="1"/>
  <c r="FQ204" i="1"/>
  <c r="FQ203" i="1"/>
  <c r="FQ202" i="1"/>
  <c r="FQ201" i="1"/>
  <c r="FQ200" i="1"/>
  <c r="FQ199" i="1"/>
  <c r="FQ198" i="1"/>
  <c r="FQ197" i="1"/>
  <c r="FQ196" i="1"/>
  <c r="FQ195" i="1"/>
  <c r="FQ194" i="1"/>
  <c r="FQ193" i="1"/>
  <c r="FQ192" i="1"/>
  <c r="FQ191" i="1"/>
  <c r="FQ190" i="1"/>
  <c r="FQ189" i="1"/>
  <c r="FQ188" i="1"/>
  <c r="FQ187" i="1"/>
  <c r="FQ186" i="1"/>
  <c r="FQ185" i="1"/>
  <c r="FQ184" i="1"/>
  <c r="FQ183" i="1"/>
  <c r="FQ182" i="1"/>
  <c r="FQ181" i="1"/>
  <c r="FQ180" i="1"/>
  <c r="FQ179" i="1"/>
  <c r="FL214" i="1"/>
  <c r="FL213" i="1"/>
  <c r="FL212" i="1"/>
  <c r="FL211" i="1"/>
  <c r="FL210" i="1"/>
  <c r="FL209" i="1"/>
  <c r="FL208" i="1"/>
  <c r="FL207" i="1"/>
  <c r="FL206" i="1"/>
  <c r="FL205" i="1"/>
  <c r="FL204" i="1"/>
  <c r="FL203" i="1"/>
  <c r="FL202" i="1"/>
  <c r="FL201" i="1"/>
  <c r="FL200" i="1"/>
  <c r="FL199" i="1"/>
  <c r="FL198" i="1"/>
  <c r="FL197" i="1"/>
  <c r="FL196" i="1"/>
  <c r="FL195" i="1"/>
  <c r="FL194" i="1"/>
  <c r="FL193" i="1"/>
  <c r="FL192" i="1"/>
  <c r="FL191" i="1"/>
  <c r="FL190" i="1"/>
  <c r="FL189" i="1"/>
  <c r="FL188" i="1"/>
  <c r="FL187" i="1"/>
  <c r="FL186" i="1"/>
  <c r="FL185" i="1"/>
  <c r="FL184" i="1"/>
  <c r="FL183" i="1"/>
  <c r="FL182" i="1"/>
  <c r="FL181" i="1"/>
  <c r="FL180" i="1"/>
  <c r="FL179" i="1"/>
  <c r="FG214" i="1"/>
  <c r="FG213" i="1"/>
  <c r="FG212" i="1"/>
  <c r="FG211" i="1"/>
  <c r="FG210" i="1"/>
  <c r="FG209" i="1"/>
  <c r="FG208" i="1"/>
  <c r="FG207" i="1"/>
  <c r="FG206" i="1"/>
  <c r="FG205" i="1"/>
  <c r="FG204" i="1"/>
  <c r="FG203" i="1"/>
  <c r="FG202" i="1"/>
  <c r="FG201" i="1"/>
  <c r="FG200" i="1"/>
  <c r="FG199" i="1"/>
  <c r="FG198" i="1"/>
  <c r="FG197" i="1"/>
  <c r="FG196" i="1"/>
  <c r="FG195" i="1"/>
  <c r="FG194" i="1"/>
  <c r="FG193" i="1"/>
  <c r="FG192" i="1"/>
  <c r="FG191" i="1"/>
  <c r="FG190" i="1"/>
  <c r="FG189" i="1"/>
  <c r="FG188" i="1"/>
  <c r="FG187" i="1"/>
  <c r="FG186" i="1"/>
  <c r="FG185" i="1"/>
  <c r="FG184" i="1"/>
  <c r="FG183" i="1"/>
  <c r="FG182" i="1"/>
  <c r="FG181" i="1"/>
  <c r="FG180" i="1"/>
  <c r="FG179" i="1"/>
  <c r="IA205" i="1" l="1"/>
  <c r="IA204" i="1"/>
  <c r="IA203" i="1"/>
  <c r="IA202" i="1"/>
  <c r="IA200" i="1"/>
  <c r="IA187" i="1"/>
  <c r="IA186" i="1"/>
  <c r="IA185" i="1"/>
  <c r="IA184" i="1"/>
  <c r="IA182" i="1"/>
  <c r="EH214" i="1" l="1"/>
  <c r="EH213" i="1"/>
  <c r="EH212" i="1"/>
  <c r="EH211" i="1"/>
  <c r="EH210" i="1"/>
  <c r="EH209" i="1"/>
  <c r="EH208" i="1"/>
  <c r="EH207" i="1"/>
  <c r="EH206" i="1"/>
  <c r="EH205" i="1"/>
  <c r="EH204" i="1"/>
  <c r="EH203" i="1"/>
  <c r="EH202" i="1"/>
  <c r="EH201" i="1"/>
  <c r="EH200" i="1"/>
  <c r="EH199" i="1"/>
  <c r="EH198" i="1"/>
  <c r="EH197" i="1"/>
  <c r="EH196" i="1"/>
  <c r="EH195" i="1"/>
  <c r="EH194" i="1"/>
  <c r="EH193" i="1"/>
  <c r="EH192" i="1"/>
  <c r="EH191" i="1"/>
  <c r="EH190" i="1"/>
  <c r="EH189" i="1"/>
  <c r="EH188" i="1"/>
  <c r="EH187" i="1"/>
  <c r="EH186" i="1"/>
  <c r="EH185" i="1"/>
  <c r="EH184" i="1"/>
  <c r="EH183" i="1"/>
  <c r="EH182" i="1"/>
  <c r="EH181" i="1"/>
  <c r="EH180" i="1"/>
  <c r="EH179" i="1"/>
  <c r="IL205" i="1" l="1"/>
  <c r="IH205" i="1"/>
  <c r="IL204" i="1"/>
  <c r="IH204" i="1"/>
  <c r="IL203" i="1"/>
  <c r="IH203" i="1"/>
  <c r="IL202" i="1"/>
  <c r="IH202" i="1"/>
  <c r="IL201" i="1"/>
  <c r="IH201" i="1"/>
  <c r="IL200" i="1"/>
  <c r="IH200" i="1"/>
  <c r="IL199" i="1"/>
  <c r="IH199" i="1"/>
  <c r="IL198" i="1"/>
  <c r="IH198" i="1"/>
  <c r="IL197" i="1"/>
  <c r="IH197" i="1"/>
  <c r="AZ214" i="1"/>
  <c r="AZ213" i="1"/>
  <c r="AZ212" i="1"/>
  <c r="AZ211" i="1"/>
  <c r="AZ210" i="1"/>
  <c r="AZ209" i="1"/>
  <c r="AZ208" i="1"/>
  <c r="AZ207" i="1"/>
  <c r="AZ206" i="1"/>
  <c r="AZ205" i="1"/>
  <c r="AZ204" i="1"/>
  <c r="AZ203" i="1"/>
  <c r="AZ202" i="1"/>
  <c r="AZ201" i="1"/>
  <c r="AZ200" i="1"/>
  <c r="AZ199" i="1"/>
  <c r="AZ198" i="1"/>
  <c r="AZ197" i="1"/>
  <c r="AZ196" i="1"/>
  <c r="AZ195" i="1"/>
  <c r="AZ194" i="1"/>
  <c r="AZ193" i="1"/>
  <c r="AZ192" i="1"/>
  <c r="AZ191" i="1"/>
  <c r="AZ190" i="1"/>
  <c r="AZ189" i="1"/>
  <c r="AZ188" i="1"/>
  <c r="AZ187" i="1"/>
  <c r="AZ186" i="1"/>
  <c r="AZ185" i="1"/>
  <c r="AZ184" i="1"/>
  <c r="AZ183" i="1"/>
  <c r="AZ182" i="1"/>
  <c r="AZ181" i="1"/>
  <c r="AZ180" i="1"/>
  <c r="AZ179" i="1"/>
  <c r="BA214" i="1"/>
  <c r="BA213" i="1"/>
  <c r="BA212" i="1"/>
  <c r="BA211" i="1"/>
  <c r="BA210" i="1"/>
  <c r="BA209" i="1"/>
  <c r="BA208" i="1"/>
  <c r="BA207" i="1"/>
  <c r="BA206" i="1"/>
  <c r="BA205" i="1"/>
  <c r="BA204" i="1"/>
  <c r="BA203" i="1"/>
  <c r="BA202" i="1"/>
  <c r="BA201" i="1"/>
  <c r="BA200" i="1"/>
  <c r="BA199" i="1"/>
  <c r="BA198" i="1"/>
  <c r="BA197" i="1"/>
  <c r="BA196" i="1"/>
  <c r="BA195" i="1"/>
  <c r="BA194" i="1"/>
  <c r="BA193" i="1"/>
  <c r="BA192" i="1"/>
  <c r="BA191" i="1"/>
  <c r="BA190" i="1"/>
  <c r="BA189" i="1"/>
  <c r="BA188" i="1"/>
  <c r="BA187" i="1"/>
  <c r="BA186" i="1"/>
  <c r="BA185" i="1"/>
  <c r="BA184" i="1"/>
  <c r="BA183" i="1"/>
  <c r="BA182" i="1"/>
  <c r="BA181" i="1"/>
  <c r="BA180" i="1"/>
  <c r="BA179" i="1"/>
  <c r="AP414" i="1" l="1"/>
  <c r="AP413" i="1"/>
  <c r="AP412" i="1"/>
  <c r="AP411" i="1"/>
  <c r="AP410" i="1"/>
  <c r="IL187" i="1"/>
  <c r="IL186" i="1"/>
  <c r="IL185" i="1"/>
  <c r="IL184" i="1"/>
  <c r="IL183" i="1"/>
  <c r="IL182" i="1"/>
  <c r="IL181" i="1"/>
  <c r="IL180" i="1"/>
  <c r="IL179" i="1"/>
  <c r="IH187" i="1"/>
  <c r="IH186" i="1"/>
  <c r="IH185" i="1"/>
  <c r="IH184" i="1"/>
  <c r="IH183" i="1"/>
  <c r="IH182" i="1"/>
  <c r="IH181" i="1"/>
  <c r="IH180" i="1"/>
  <c r="IH179" i="1"/>
  <c r="AQ591" i="1"/>
  <c r="AP591" i="1"/>
  <c r="AQ590" i="1"/>
  <c r="AP590" i="1"/>
  <c r="AQ589" i="1"/>
  <c r="AP589" i="1"/>
  <c r="AQ588" i="1"/>
  <c r="AP588" i="1"/>
  <c r="AQ587" i="1"/>
  <c r="AP587" i="1"/>
  <c r="AQ586" i="1"/>
  <c r="AP586" i="1"/>
  <c r="AQ585" i="1"/>
  <c r="AP585" i="1"/>
  <c r="AQ584" i="1"/>
  <c r="AP584" i="1"/>
  <c r="AQ583" i="1"/>
  <c r="AP583" i="1"/>
  <c r="AQ582" i="1"/>
  <c r="AP582" i="1"/>
  <c r="AQ581" i="1"/>
  <c r="AP581" i="1"/>
  <c r="AQ580" i="1"/>
  <c r="AP580" i="1"/>
  <c r="AQ579" i="1"/>
  <c r="AP579" i="1"/>
  <c r="AQ578" i="1"/>
  <c r="AP578" i="1"/>
  <c r="AQ577" i="1"/>
  <c r="AP577" i="1"/>
  <c r="AQ576" i="1"/>
  <c r="AP576" i="1"/>
  <c r="AQ575" i="1"/>
  <c r="AP575" i="1"/>
  <c r="AQ574" i="1"/>
  <c r="AP574" i="1"/>
  <c r="AQ573" i="1"/>
  <c r="AP573" i="1"/>
  <c r="AQ572" i="1"/>
  <c r="AP572" i="1"/>
  <c r="AQ571" i="1"/>
  <c r="AP571" i="1"/>
  <c r="AQ570" i="1"/>
  <c r="AP570" i="1"/>
  <c r="AQ569" i="1"/>
  <c r="AP569" i="1"/>
  <c r="AQ568" i="1"/>
  <c r="AP568" i="1"/>
  <c r="AQ567" i="1"/>
  <c r="AP567" i="1"/>
  <c r="AQ566" i="1"/>
  <c r="AP566" i="1"/>
  <c r="AQ565" i="1"/>
  <c r="AP565" i="1"/>
  <c r="AQ564" i="1"/>
  <c r="AP564" i="1"/>
  <c r="AQ563" i="1"/>
  <c r="AP563" i="1"/>
  <c r="AQ562" i="1"/>
  <c r="AP562" i="1"/>
  <c r="AQ561" i="1"/>
  <c r="AP561" i="1"/>
  <c r="AQ560" i="1"/>
  <c r="AP560" i="1"/>
  <c r="AQ559" i="1"/>
  <c r="AP559" i="1"/>
  <c r="AQ558" i="1"/>
  <c r="AP558" i="1"/>
  <c r="AQ557" i="1"/>
  <c r="AP557" i="1"/>
  <c r="AQ556" i="1"/>
  <c r="AP556" i="1"/>
  <c r="AQ555" i="1"/>
  <c r="AP555" i="1"/>
  <c r="AQ554" i="1"/>
  <c r="AP554" i="1"/>
  <c r="AQ553" i="1"/>
  <c r="AP553" i="1"/>
  <c r="AQ552" i="1"/>
  <c r="AP552" i="1"/>
  <c r="AQ551" i="1"/>
  <c r="AP551" i="1"/>
  <c r="AQ550" i="1"/>
  <c r="AP550" i="1"/>
  <c r="AQ549" i="1"/>
  <c r="AP549" i="1"/>
  <c r="AQ548" i="1"/>
  <c r="AP548" i="1"/>
  <c r="AQ547" i="1"/>
  <c r="AP547" i="1"/>
  <c r="AQ546" i="1"/>
  <c r="AP546" i="1"/>
  <c r="AQ545" i="1"/>
  <c r="AP545" i="1"/>
  <c r="AQ544" i="1"/>
  <c r="AP544" i="1"/>
  <c r="AQ543" i="1"/>
  <c r="AP543" i="1"/>
  <c r="AQ542" i="1"/>
  <c r="AP542" i="1"/>
  <c r="AQ541" i="1"/>
  <c r="AP541" i="1"/>
  <c r="AQ540" i="1"/>
  <c r="AP540" i="1"/>
  <c r="AQ539" i="1"/>
  <c r="AP539" i="1"/>
  <c r="AQ538" i="1"/>
  <c r="AP538" i="1"/>
  <c r="AQ537" i="1"/>
  <c r="AP537" i="1"/>
  <c r="AQ536" i="1"/>
  <c r="AP536" i="1"/>
  <c r="AQ535" i="1"/>
  <c r="AP535" i="1"/>
  <c r="AQ534" i="1"/>
  <c r="AP534" i="1"/>
  <c r="AQ533" i="1"/>
  <c r="AP533" i="1"/>
  <c r="AQ532" i="1"/>
  <c r="AP532" i="1"/>
  <c r="AQ531" i="1"/>
  <c r="AP531" i="1"/>
  <c r="AQ530" i="1"/>
  <c r="AP530" i="1"/>
  <c r="AQ529" i="1"/>
  <c r="AP529" i="1"/>
  <c r="AQ528" i="1"/>
  <c r="AP528" i="1"/>
  <c r="AQ527" i="1"/>
  <c r="AP527" i="1"/>
  <c r="AQ526" i="1"/>
  <c r="AP526" i="1"/>
  <c r="AQ525" i="1"/>
  <c r="AP525" i="1"/>
  <c r="AQ524" i="1"/>
  <c r="AP524" i="1"/>
  <c r="AQ523" i="1"/>
  <c r="AP523" i="1"/>
  <c r="AQ522" i="1"/>
  <c r="AP522" i="1"/>
  <c r="AQ521" i="1"/>
  <c r="AP521" i="1"/>
  <c r="AQ520" i="1"/>
  <c r="AP520" i="1"/>
  <c r="AQ519" i="1"/>
  <c r="AP519" i="1"/>
  <c r="AQ518" i="1"/>
  <c r="AP518" i="1"/>
  <c r="AQ517" i="1"/>
  <c r="AP517" i="1"/>
  <c r="AQ516" i="1"/>
  <c r="AP516" i="1"/>
  <c r="AQ515" i="1"/>
  <c r="AP515" i="1"/>
  <c r="AQ514" i="1"/>
  <c r="AP514" i="1"/>
  <c r="AQ513" i="1"/>
  <c r="AP513" i="1"/>
  <c r="AQ512" i="1"/>
  <c r="AP512" i="1"/>
  <c r="AQ511" i="1"/>
  <c r="AP511" i="1"/>
  <c r="AQ510" i="1"/>
  <c r="AP510" i="1"/>
  <c r="AQ509" i="1"/>
  <c r="AP509" i="1"/>
  <c r="AQ508" i="1"/>
  <c r="AP508" i="1"/>
  <c r="AQ507" i="1"/>
  <c r="AP507" i="1"/>
  <c r="AQ506" i="1"/>
  <c r="AP506" i="1"/>
  <c r="AQ505" i="1"/>
  <c r="AP505" i="1"/>
  <c r="AQ504" i="1"/>
  <c r="AP504" i="1"/>
  <c r="AQ503" i="1"/>
  <c r="AP503" i="1"/>
  <c r="AQ502" i="1"/>
  <c r="AP502" i="1"/>
  <c r="AQ501" i="1"/>
  <c r="AP501" i="1"/>
  <c r="AQ500" i="1"/>
  <c r="AP500" i="1"/>
  <c r="AQ499" i="1"/>
  <c r="AP499" i="1"/>
  <c r="AQ498" i="1"/>
  <c r="AP498" i="1"/>
  <c r="AQ497" i="1"/>
  <c r="AP497" i="1"/>
  <c r="AQ496" i="1"/>
  <c r="AP496" i="1"/>
  <c r="AQ495" i="1"/>
  <c r="AP495" i="1"/>
  <c r="AQ494" i="1"/>
  <c r="AP494" i="1"/>
  <c r="AQ493" i="1"/>
  <c r="AP493" i="1"/>
  <c r="AQ492" i="1"/>
  <c r="AP492" i="1"/>
  <c r="AQ491" i="1"/>
  <c r="AP491" i="1"/>
  <c r="AQ490" i="1"/>
  <c r="AP490" i="1"/>
  <c r="AQ489" i="1"/>
  <c r="AP489" i="1"/>
  <c r="AQ488" i="1"/>
  <c r="AP488" i="1"/>
  <c r="AQ487" i="1"/>
  <c r="AP487" i="1"/>
  <c r="AQ486" i="1"/>
  <c r="AP486" i="1"/>
  <c r="AQ485" i="1"/>
  <c r="AP485" i="1"/>
  <c r="AQ484" i="1"/>
  <c r="AP484" i="1"/>
  <c r="AQ483" i="1"/>
  <c r="AP483" i="1"/>
  <c r="AQ482" i="1"/>
  <c r="AP482" i="1"/>
  <c r="AQ481" i="1"/>
  <c r="AP481" i="1"/>
  <c r="AQ480" i="1"/>
  <c r="AP480" i="1"/>
  <c r="AQ479" i="1"/>
  <c r="AP479" i="1"/>
  <c r="AQ478" i="1"/>
  <c r="AP478" i="1"/>
  <c r="AQ477" i="1"/>
  <c r="AP477" i="1"/>
  <c r="AQ476" i="1"/>
  <c r="AP476" i="1"/>
  <c r="AQ475" i="1"/>
  <c r="AP475" i="1"/>
  <c r="AQ474" i="1"/>
  <c r="AP474" i="1"/>
  <c r="AQ473" i="1"/>
  <c r="AP473" i="1"/>
  <c r="AQ472" i="1"/>
  <c r="AP472" i="1"/>
  <c r="AQ471" i="1"/>
  <c r="AP471" i="1"/>
  <c r="AQ470" i="1"/>
  <c r="AP470" i="1"/>
  <c r="AQ469" i="1"/>
  <c r="AP469" i="1"/>
  <c r="AQ468" i="1"/>
  <c r="AP468" i="1"/>
  <c r="AQ467" i="1"/>
  <c r="AP467" i="1"/>
  <c r="AQ466" i="1"/>
  <c r="AP466" i="1"/>
  <c r="AQ465" i="1"/>
  <c r="AP465" i="1"/>
  <c r="AQ464" i="1"/>
  <c r="AP464" i="1"/>
  <c r="AQ463" i="1"/>
  <c r="AP463" i="1"/>
  <c r="AQ462" i="1"/>
  <c r="AP462" i="1"/>
  <c r="AQ461" i="1"/>
  <c r="AP461" i="1"/>
  <c r="AQ460" i="1"/>
  <c r="AP460" i="1"/>
  <c r="AQ459" i="1"/>
  <c r="AP459" i="1"/>
  <c r="AQ458" i="1"/>
  <c r="AP458" i="1"/>
  <c r="AQ457" i="1"/>
  <c r="AP457" i="1"/>
  <c r="AQ456" i="1"/>
  <c r="AP456" i="1"/>
  <c r="AQ455" i="1"/>
  <c r="AP455" i="1"/>
  <c r="AQ454" i="1"/>
  <c r="AP454" i="1"/>
  <c r="AQ453" i="1"/>
  <c r="AP453" i="1"/>
  <c r="AQ452" i="1"/>
  <c r="AP452" i="1"/>
  <c r="AQ451" i="1"/>
  <c r="AP451" i="1"/>
  <c r="AQ450" i="1"/>
  <c r="AP450" i="1"/>
  <c r="AQ449" i="1"/>
  <c r="AP449" i="1"/>
  <c r="AQ448" i="1"/>
  <c r="AP448" i="1"/>
  <c r="AQ447" i="1"/>
  <c r="AP447" i="1"/>
  <c r="AQ446" i="1"/>
  <c r="AP446" i="1"/>
  <c r="AQ445" i="1"/>
  <c r="AP445" i="1"/>
  <c r="AQ444" i="1"/>
  <c r="AP444" i="1"/>
  <c r="AQ443" i="1"/>
  <c r="AP443" i="1"/>
  <c r="AQ442" i="1"/>
  <c r="AP442" i="1"/>
  <c r="AQ441" i="1"/>
  <c r="AP441" i="1"/>
  <c r="AQ440" i="1"/>
  <c r="AP440" i="1"/>
  <c r="AQ439" i="1"/>
  <c r="AP439" i="1"/>
  <c r="AQ438" i="1"/>
  <c r="AP438" i="1"/>
  <c r="AQ437" i="1"/>
  <c r="AP437" i="1"/>
  <c r="AQ436" i="1"/>
  <c r="AP436" i="1"/>
  <c r="AQ435" i="1"/>
  <c r="AP435" i="1"/>
  <c r="AQ434" i="1"/>
  <c r="AP434" i="1"/>
  <c r="AQ433" i="1"/>
  <c r="AP433" i="1"/>
  <c r="AQ432" i="1"/>
  <c r="AP432" i="1"/>
  <c r="AQ431" i="1"/>
  <c r="AP431" i="1"/>
  <c r="AQ430" i="1"/>
  <c r="AP430" i="1"/>
  <c r="AQ429" i="1"/>
  <c r="AP429" i="1"/>
  <c r="AQ428" i="1"/>
  <c r="AP428" i="1"/>
  <c r="AQ427" i="1"/>
  <c r="AP427" i="1"/>
  <c r="AQ426" i="1"/>
  <c r="AP426" i="1"/>
  <c r="AQ425" i="1"/>
  <c r="AP425" i="1"/>
  <c r="AQ424" i="1"/>
  <c r="AP424" i="1"/>
  <c r="AQ423" i="1"/>
  <c r="AP423" i="1"/>
  <c r="AQ422" i="1"/>
  <c r="AP422" i="1"/>
  <c r="AQ421" i="1"/>
  <c r="AP421" i="1"/>
  <c r="AQ420" i="1"/>
  <c r="AP420" i="1"/>
  <c r="AQ419" i="1"/>
  <c r="AP419" i="1"/>
  <c r="AQ418" i="1"/>
  <c r="AP418" i="1"/>
  <c r="AQ417" i="1"/>
  <c r="AP417" i="1"/>
  <c r="AQ416" i="1"/>
  <c r="AP416" i="1"/>
  <c r="AQ415" i="1"/>
  <c r="AP415" i="1"/>
  <c r="AQ409" i="1"/>
  <c r="AP409" i="1"/>
  <c r="AQ408" i="1"/>
  <c r="AP408" i="1"/>
  <c r="AQ407" i="1"/>
  <c r="AP407" i="1"/>
  <c r="AQ406" i="1"/>
  <c r="AP406" i="1"/>
  <c r="AQ405" i="1"/>
  <c r="AP405" i="1"/>
  <c r="AQ404" i="1"/>
  <c r="AP404" i="1"/>
  <c r="AQ403" i="1"/>
  <c r="AP403" i="1"/>
  <c r="AQ402" i="1"/>
  <c r="AP402" i="1"/>
  <c r="AQ401" i="1"/>
  <c r="AP401" i="1"/>
  <c r="AQ400" i="1"/>
  <c r="AP400" i="1"/>
  <c r="AQ399" i="1"/>
  <c r="AP399" i="1"/>
  <c r="AQ398" i="1"/>
  <c r="AP398" i="1"/>
  <c r="AQ397" i="1"/>
  <c r="AP397" i="1"/>
  <c r="AQ396" i="1"/>
  <c r="AP396" i="1"/>
  <c r="AQ395" i="1"/>
  <c r="AP395" i="1"/>
  <c r="AQ394" i="1"/>
  <c r="AP394" i="1"/>
  <c r="AQ393" i="1"/>
  <c r="AP393" i="1"/>
  <c r="AQ392" i="1"/>
  <c r="AP392" i="1"/>
  <c r="AQ391" i="1"/>
  <c r="AP391" i="1"/>
  <c r="AQ390" i="1"/>
  <c r="AP390" i="1"/>
  <c r="AQ389" i="1"/>
  <c r="AP389" i="1"/>
  <c r="AQ388" i="1"/>
  <c r="AP388" i="1"/>
  <c r="AQ387" i="1"/>
  <c r="AP387" i="1"/>
  <c r="AQ386" i="1"/>
  <c r="AP386" i="1"/>
  <c r="AQ385" i="1"/>
  <c r="AP385" i="1"/>
  <c r="AQ384" i="1"/>
  <c r="AP384" i="1"/>
  <c r="AQ383" i="1"/>
  <c r="AP383" i="1"/>
  <c r="AQ382" i="1"/>
  <c r="AP382" i="1"/>
  <c r="AQ381" i="1"/>
  <c r="AP381" i="1"/>
  <c r="AQ380" i="1"/>
  <c r="AP380" i="1"/>
  <c r="AQ379" i="1"/>
  <c r="AP379" i="1"/>
  <c r="AQ378" i="1"/>
  <c r="AP378" i="1"/>
  <c r="AQ377" i="1"/>
  <c r="AP377" i="1"/>
  <c r="AQ376" i="1"/>
  <c r="AP376" i="1"/>
  <c r="AQ375" i="1"/>
  <c r="AP375" i="1"/>
  <c r="AQ374" i="1"/>
  <c r="AP374" i="1"/>
  <c r="AQ373" i="1"/>
  <c r="AP373" i="1"/>
  <c r="AQ372" i="1"/>
  <c r="AP372" i="1"/>
  <c r="AQ371" i="1"/>
  <c r="AP371" i="1"/>
  <c r="AQ370" i="1"/>
  <c r="AP370" i="1"/>
  <c r="AQ369" i="1"/>
  <c r="AP369" i="1"/>
  <c r="AQ368" i="1"/>
  <c r="AP368" i="1"/>
  <c r="AQ367" i="1"/>
  <c r="AP367" i="1"/>
  <c r="AQ366" i="1"/>
  <c r="AP366" i="1"/>
  <c r="AQ365" i="1"/>
  <c r="AP365" i="1"/>
  <c r="AQ364" i="1"/>
  <c r="AP364" i="1"/>
  <c r="AQ363" i="1"/>
  <c r="AP363" i="1"/>
  <c r="AQ362" i="1"/>
  <c r="AP362" i="1"/>
  <c r="AQ361" i="1"/>
  <c r="AP361" i="1"/>
  <c r="AQ360" i="1"/>
  <c r="AP360" i="1"/>
  <c r="AQ359" i="1"/>
  <c r="AP359" i="1"/>
  <c r="AQ358" i="1"/>
  <c r="AP358" i="1"/>
  <c r="AQ357" i="1"/>
  <c r="AP357" i="1"/>
  <c r="AQ356" i="1"/>
  <c r="AP356" i="1"/>
  <c r="AQ355" i="1"/>
  <c r="AP355" i="1"/>
  <c r="AQ354" i="1"/>
  <c r="AP354" i="1"/>
  <c r="AQ353" i="1"/>
  <c r="AP353" i="1"/>
  <c r="AQ352" i="1"/>
  <c r="AP352" i="1"/>
  <c r="AQ351" i="1"/>
  <c r="AP351" i="1"/>
  <c r="AQ350" i="1"/>
  <c r="AP350" i="1"/>
  <c r="AQ349" i="1"/>
  <c r="AP349" i="1"/>
  <c r="AQ348" i="1"/>
  <c r="AP348" i="1"/>
  <c r="AQ347" i="1"/>
  <c r="AP347" i="1"/>
  <c r="AQ346" i="1"/>
  <c r="AP346" i="1"/>
  <c r="AQ345" i="1"/>
  <c r="AP345" i="1"/>
  <c r="AQ344" i="1"/>
  <c r="AP344" i="1"/>
  <c r="AQ343" i="1"/>
  <c r="AP343" i="1"/>
  <c r="AQ342" i="1"/>
  <c r="AP342" i="1"/>
  <c r="AQ341" i="1"/>
  <c r="AP341" i="1"/>
  <c r="AQ340" i="1"/>
  <c r="AP340" i="1"/>
  <c r="AQ339" i="1"/>
  <c r="AP339" i="1"/>
  <c r="AQ338" i="1"/>
  <c r="AP338" i="1"/>
  <c r="AQ337" i="1"/>
  <c r="AP337" i="1"/>
  <c r="AQ336" i="1"/>
  <c r="AP336" i="1"/>
  <c r="AQ335" i="1"/>
  <c r="AP335" i="1"/>
  <c r="AQ334" i="1"/>
  <c r="AP334" i="1"/>
  <c r="AQ333" i="1"/>
  <c r="AP333" i="1"/>
  <c r="AQ332" i="1"/>
  <c r="AP332" i="1"/>
  <c r="AQ331" i="1"/>
  <c r="AP331" i="1"/>
  <c r="AQ330" i="1"/>
  <c r="AP330" i="1"/>
  <c r="AQ329" i="1"/>
  <c r="AP329" i="1"/>
  <c r="AQ328" i="1"/>
  <c r="AP328" i="1"/>
  <c r="AQ327" i="1"/>
  <c r="AP327" i="1"/>
  <c r="AQ326" i="1"/>
  <c r="AP326" i="1"/>
  <c r="AQ325" i="1"/>
  <c r="AP325" i="1"/>
  <c r="AQ324" i="1"/>
  <c r="AP324" i="1"/>
  <c r="AQ323" i="1"/>
  <c r="AP323" i="1"/>
  <c r="AQ322" i="1"/>
  <c r="AP322" i="1"/>
  <c r="AQ321" i="1"/>
  <c r="AP321" i="1"/>
  <c r="AQ320" i="1"/>
  <c r="AP320" i="1"/>
  <c r="AQ319" i="1"/>
  <c r="AP319" i="1"/>
  <c r="AQ318" i="1"/>
  <c r="AP318" i="1"/>
  <c r="AQ317" i="1"/>
  <c r="AP317" i="1"/>
  <c r="AQ316" i="1"/>
  <c r="AP316" i="1"/>
  <c r="AQ315" i="1"/>
  <c r="AP315" i="1"/>
  <c r="AQ314" i="1"/>
  <c r="AP314" i="1"/>
  <c r="AQ313" i="1"/>
  <c r="AP313" i="1"/>
  <c r="AQ312" i="1"/>
  <c r="AP312" i="1"/>
  <c r="AQ311" i="1"/>
  <c r="AP311" i="1"/>
  <c r="AQ310" i="1"/>
  <c r="AP310" i="1"/>
  <c r="AQ309" i="1"/>
  <c r="AP309" i="1"/>
  <c r="AQ308" i="1"/>
  <c r="AP308" i="1"/>
  <c r="AQ307" i="1"/>
  <c r="AP307" i="1"/>
  <c r="AQ306" i="1"/>
  <c r="AP306" i="1"/>
  <c r="AQ305" i="1"/>
  <c r="AP305" i="1"/>
  <c r="AQ304" i="1"/>
  <c r="AP304" i="1"/>
  <c r="AQ303" i="1"/>
  <c r="AP303" i="1"/>
  <c r="AQ302" i="1"/>
  <c r="AP302" i="1"/>
  <c r="AQ301" i="1"/>
  <c r="AP301" i="1"/>
  <c r="AQ300" i="1"/>
  <c r="AP300" i="1"/>
  <c r="AQ299" i="1"/>
  <c r="AP299" i="1"/>
  <c r="AQ298" i="1"/>
  <c r="AP298" i="1"/>
  <c r="AQ297" i="1"/>
  <c r="AP297" i="1"/>
  <c r="AQ296" i="1"/>
  <c r="AP296" i="1"/>
  <c r="AQ295" i="1"/>
  <c r="AP295" i="1"/>
  <c r="AQ294" i="1"/>
  <c r="AP294" i="1"/>
  <c r="AQ293" i="1"/>
  <c r="AP293" i="1"/>
  <c r="AQ292" i="1"/>
  <c r="AP292" i="1"/>
  <c r="AQ291" i="1"/>
  <c r="AP291" i="1"/>
  <c r="AQ290" i="1"/>
  <c r="AP290" i="1"/>
  <c r="AQ289" i="1"/>
  <c r="AP289" i="1"/>
  <c r="AQ288" i="1"/>
  <c r="AP288" i="1"/>
  <c r="AQ287" i="1"/>
  <c r="AP287" i="1"/>
  <c r="AQ286" i="1"/>
  <c r="AP286" i="1"/>
  <c r="AQ285" i="1"/>
  <c r="AP285" i="1"/>
  <c r="AQ284" i="1"/>
  <c r="AP284" i="1"/>
  <c r="AQ283" i="1"/>
  <c r="AP283" i="1"/>
  <c r="AQ282" i="1"/>
  <c r="AP282" i="1"/>
  <c r="AQ281" i="1"/>
  <c r="AP281" i="1"/>
  <c r="AQ280" i="1"/>
  <c r="AP280" i="1"/>
  <c r="AQ279" i="1"/>
  <c r="AP279" i="1"/>
  <c r="AQ278" i="1"/>
  <c r="AP278" i="1"/>
  <c r="AQ277" i="1"/>
  <c r="AP277" i="1"/>
  <c r="AQ276" i="1"/>
  <c r="AP276" i="1"/>
  <c r="AQ275" i="1"/>
  <c r="AP275" i="1"/>
  <c r="AQ274" i="1"/>
  <c r="AP274" i="1"/>
  <c r="AQ273" i="1"/>
  <c r="AP273" i="1"/>
  <c r="AQ272" i="1"/>
  <c r="AP272" i="1"/>
  <c r="AQ271" i="1"/>
  <c r="AP271" i="1"/>
  <c r="AQ270" i="1"/>
  <c r="AP270" i="1"/>
  <c r="AQ269" i="1"/>
  <c r="AP269" i="1"/>
  <c r="AQ268" i="1"/>
  <c r="AP268" i="1"/>
  <c r="AQ267" i="1"/>
  <c r="AP267" i="1"/>
  <c r="AQ266" i="1"/>
  <c r="AP266" i="1"/>
  <c r="AQ265" i="1"/>
  <c r="AP265" i="1"/>
  <c r="AQ264" i="1"/>
  <c r="AP264" i="1"/>
  <c r="AQ263" i="1"/>
  <c r="AP263" i="1"/>
  <c r="AQ262" i="1"/>
  <c r="AP262" i="1"/>
  <c r="AQ261" i="1"/>
  <c r="AP261" i="1"/>
  <c r="AQ260" i="1"/>
  <c r="AP260" i="1"/>
  <c r="AQ259" i="1"/>
  <c r="AP259" i="1"/>
  <c r="AQ258" i="1"/>
  <c r="AP258" i="1"/>
  <c r="AQ257" i="1"/>
  <c r="AP257" i="1"/>
  <c r="AQ256" i="1"/>
  <c r="AP256" i="1"/>
  <c r="AQ255" i="1"/>
  <c r="AP255" i="1"/>
  <c r="AQ254" i="1"/>
  <c r="AP254" i="1"/>
  <c r="AQ253" i="1"/>
  <c r="AP253" i="1"/>
  <c r="AQ252" i="1"/>
  <c r="AP252" i="1"/>
  <c r="AQ251" i="1"/>
  <c r="AP251" i="1"/>
  <c r="AQ250" i="1"/>
  <c r="AP250" i="1"/>
  <c r="AQ249" i="1"/>
  <c r="AP249" i="1"/>
  <c r="AQ248" i="1"/>
  <c r="AP248" i="1"/>
  <c r="AQ247" i="1"/>
  <c r="AP247" i="1"/>
  <c r="AQ246" i="1"/>
  <c r="AP246" i="1"/>
  <c r="AQ245" i="1"/>
  <c r="AP245" i="1"/>
  <c r="AQ244" i="1"/>
  <c r="AP244" i="1"/>
  <c r="AQ243" i="1"/>
  <c r="AP243" i="1"/>
  <c r="AQ242" i="1"/>
  <c r="AP242" i="1"/>
  <c r="AQ241" i="1"/>
  <c r="AP241" i="1"/>
  <c r="AQ240" i="1"/>
  <c r="AP240" i="1"/>
  <c r="AQ239" i="1"/>
  <c r="AP239" i="1"/>
  <c r="AQ238" i="1"/>
  <c r="AP238" i="1"/>
  <c r="AQ237" i="1"/>
  <c r="AP237" i="1"/>
  <c r="AQ236" i="1"/>
  <c r="AP236" i="1"/>
  <c r="AQ235" i="1"/>
  <c r="AP235" i="1"/>
  <c r="AQ234" i="1"/>
  <c r="AP234" i="1"/>
  <c r="AQ233" i="1"/>
  <c r="AP233" i="1"/>
  <c r="AQ232" i="1"/>
  <c r="AP232" i="1"/>
  <c r="AQ231" i="1"/>
  <c r="AP231" i="1"/>
  <c r="AQ230" i="1"/>
  <c r="AP230" i="1"/>
  <c r="AQ229" i="1"/>
  <c r="AP229" i="1"/>
  <c r="AQ228" i="1"/>
  <c r="AP228" i="1"/>
  <c r="AQ227" i="1"/>
  <c r="AP227" i="1"/>
  <c r="AQ226" i="1"/>
  <c r="AP226" i="1"/>
  <c r="AQ225" i="1"/>
  <c r="AP225" i="1"/>
  <c r="AQ224" i="1"/>
  <c r="AP224" i="1"/>
  <c r="AQ223" i="1"/>
  <c r="AP223" i="1"/>
  <c r="AQ222" i="1"/>
  <c r="AP222" i="1"/>
  <c r="AQ221" i="1"/>
  <c r="AP221" i="1"/>
  <c r="AQ220" i="1"/>
  <c r="AP220" i="1"/>
  <c r="AQ219" i="1"/>
  <c r="AP219" i="1"/>
  <c r="AQ218" i="1"/>
  <c r="AP218" i="1"/>
  <c r="AQ217" i="1"/>
  <c r="AP217" i="1"/>
  <c r="AQ216" i="1"/>
  <c r="AP216" i="1"/>
  <c r="AQ215" i="1"/>
  <c r="AP215" i="1"/>
  <c r="AQ214" i="1"/>
  <c r="AP214" i="1"/>
  <c r="AQ213" i="1"/>
  <c r="AP213" i="1"/>
  <c r="AQ212" i="1"/>
  <c r="AP212" i="1"/>
  <c r="AQ211" i="1"/>
  <c r="AP211" i="1"/>
  <c r="AQ210" i="1"/>
  <c r="AP210" i="1"/>
  <c r="AQ209" i="1"/>
  <c r="AP209" i="1"/>
  <c r="AQ208" i="1"/>
  <c r="AP208" i="1"/>
  <c r="AQ207" i="1"/>
  <c r="AP207" i="1"/>
  <c r="AQ206" i="1"/>
  <c r="AP206" i="1"/>
  <c r="AQ205" i="1"/>
  <c r="AP205" i="1"/>
  <c r="AQ204" i="1"/>
  <c r="AP204" i="1"/>
  <c r="AQ203" i="1"/>
  <c r="AP203" i="1"/>
  <c r="AQ202" i="1"/>
  <c r="AP202" i="1"/>
  <c r="AQ201" i="1"/>
  <c r="AP201" i="1"/>
  <c r="AQ200" i="1"/>
  <c r="AP200" i="1"/>
  <c r="AQ199" i="1"/>
  <c r="AP199" i="1"/>
  <c r="AQ198" i="1"/>
  <c r="AP198" i="1"/>
  <c r="AQ197" i="1"/>
  <c r="AP197" i="1"/>
  <c r="AQ196" i="1"/>
  <c r="AP196" i="1"/>
  <c r="AQ195" i="1"/>
  <c r="AP195" i="1"/>
  <c r="AQ194" i="1"/>
  <c r="AP194" i="1"/>
  <c r="AQ193" i="1"/>
  <c r="AP193" i="1"/>
  <c r="AQ192" i="1"/>
  <c r="AP192" i="1"/>
  <c r="AQ191" i="1"/>
  <c r="AP191" i="1"/>
  <c r="AQ190" i="1"/>
  <c r="AP190" i="1"/>
  <c r="AQ189" i="1"/>
  <c r="AP189" i="1"/>
  <c r="AQ188" i="1"/>
  <c r="AP188" i="1"/>
  <c r="AQ187" i="1"/>
  <c r="AP187" i="1"/>
  <c r="AQ186" i="1"/>
  <c r="AP186" i="1"/>
  <c r="AQ185" i="1"/>
  <c r="AP185" i="1"/>
  <c r="AQ184" i="1"/>
  <c r="AP184" i="1"/>
  <c r="AQ183" i="1"/>
  <c r="AP183" i="1"/>
  <c r="AQ182" i="1"/>
  <c r="AP182" i="1"/>
  <c r="AQ181" i="1"/>
  <c r="AP181" i="1"/>
  <c r="AQ180" i="1"/>
  <c r="AP180" i="1"/>
  <c r="AQ179" i="1"/>
  <c r="AP179" i="1"/>
  <c r="AQ178" i="1"/>
  <c r="AP178" i="1"/>
  <c r="AQ177" i="1"/>
  <c r="AP177" i="1"/>
  <c r="AQ176" i="1"/>
  <c r="AP176" i="1"/>
  <c r="AQ175" i="1"/>
  <c r="AP175" i="1"/>
  <c r="AQ174" i="1"/>
  <c r="AP174" i="1"/>
  <c r="AQ173" i="1"/>
  <c r="AP173" i="1"/>
  <c r="AQ172" i="1"/>
  <c r="AP172" i="1"/>
  <c r="AQ171" i="1"/>
  <c r="AP171" i="1"/>
  <c r="AQ170" i="1"/>
  <c r="AP170" i="1"/>
  <c r="AQ169" i="1"/>
  <c r="AP169" i="1"/>
  <c r="AQ168" i="1"/>
  <c r="AP168" i="1"/>
  <c r="AQ167" i="1"/>
  <c r="AP167" i="1"/>
  <c r="AQ166" i="1"/>
  <c r="AP166" i="1"/>
  <c r="AQ165" i="1"/>
  <c r="AP165" i="1"/>
  <c r="AQ164" i="1"/>
  <c r="AP164" i="1"/>
  <c r="AQ163" i="1"/>
  <c r="AP163" i="1"/>
  <c r="AQ162" i="1"/>
  <c r="AP162" i="1"/>
  <c r="AQ161" i="1"/>
  <c r="AP161" i="1"/>
  <c r="AQ160" i="1"/>
  <c r="AP160" i="1"/>
  <c r="AQ159" i="1"/>
  <c r="AP159" i="1"/>
  <c r="AQ158" i="1"/>
  <c r="AP158" i="1"/>
  <c r="AQ157" i="1"/>
  <c r="AP157" i="1"/>
  <c r="AQ156" i="1"/>
  <c r="AP156" i="1"/>
  <c r="AQ155" i="1"/>
  <c r="AP155" i="1"/>
  <c r="AQ154" i="1"/>
  <c r="AP154" i="1"/>
  <c r="AQ153" i="1"/>
  <c r="AP153" i="1"/>
  <c r="AQ152" i="1"/>
  <c r="AP152" i="1"/>
  <c r="AQ151" i="1"/>
  <c r="AP151" i="1"/>
  <c r="AQ150" i="1"/>
  <c r="AP150" i="1"/>
  <c r="AQ149" i="1"/>
  <c r="AP149" i="1"/>
  <c r="AQ148" i="1"/>
  <c r="AP148" i="1"/>
  <c r="AQ147" i="1"/>
  <c r="AP147" i="1"/>
  <c r="AQ146" i="1"/>
  <c r="AP146" i="1"/>
  <c r="AQ145" i="1"/>
  <c r="AP145" i="1"/>
  <c r="AQ144" i="1"/>
  <c r="AP144" i="1"/>
  <c r="AQ143" i="1"/>
  <c r="AP143" i="1"/>
  <c r="AQ142" i="1"/>
  <c r="AP142" i="1"/>
  <c r="AQ141" i="1"/>
  <c r="AP141" i="1"/>
  <c r="AQ140" i="1"/>
  <c r="AP140" i="1"/>
  <c r="AQ139" i="1"/>
  <c r="AP139" i="1"/>
  <c r="AQ138" i="1"/>
  <c r="AP138" i="1"/>
  <c r="AQ137" i="1"/>
  <c r="AP137" i="1"/>
  <c r="AQ136" i="1"/>
  <c r="AP136" i="1"/>
  <c r="AQ135" i="1"/>
  <c r="AP135" i="1"/>
  <c r="AQ134" i="1"/>
  <c r="AP134" i="1"/>
  <c r="AQ133" i="1"/>
  <c r="AP133" i="1"/>
  <c r="AQ132" i="1"/>
  <c r="AP132" i="1"/>
  <c r="AQ131" i="1"/>
  <c r="AP131" i="1"/>
  <c r="AQ130" i="1"/>
  <c r="AP130" i="1"/>
  <c r="AQ129" i="1"/>
  <c r="AP129" i="1"/>
  <c r="AQ128" i="1"/>
  <c r="AP128" i="1"/>
  <c r="AQ127" i="1"/>
  <c r="AP127" i="1"/>
  <c r="AQ126" i="1"/>
  <c r="AP126" i="1"/>
  <c r="AQ125" i="1"/>
  <c r="AP125" i="1"/>
  <c r="AQ124" i="1"/>
  <c r="AP124" i="1"/>
  <c r="AQ123" i="1"/>
  <c r="AP123" i="1"/>
  <c r="AQ122" i="1"/>
  <c r="AP122" i="1"/>
  <c r="AQ121" i="1"/>
  <c r="AP121" i="1"/>
  <c r="AQ120" i="1"/>
  <c r="AP120" i="1"/>
  <c r="AQ119" i="1"/>
  <c r="AP119" i="1"/>
  <c r="AQ118" i="1"/>
  <c r="AP118" i="1"/>
  <c r="AQ117" i="1"/>
  <c r="AP117" i="1"/>
  <c r="AQ116" i="1"/>
  <c r="AP116" i="1"/>
  <c r="AQ115" i="1"/>
  <c r="AP115" i="1"/>
  <c r="AQ114" i="1"/>
  <c r="AP114" i="1"/>
  <c r="AQ113" i="1"/>
  <c r="AP113" i="1"/>
  <c r="AQ112" i="1"/>
  <c r="AP112" i="1"/>
  <c r="AQ111" i="1"/>
  <c r="AP111" i="1"/>
  <c r="AQ110" i="1"/>
  <c r="AP110" i="1"/>
  <c r="AQ109" i="1"/>
  <c r="AP109" i="1"/>
  <c r="AQ108" i="1"/>
  <c r="AP108" i="1"/>
  <c r="AQ107" i="1"/>
  <c r="AP107" i="1"/>
  <c r="AQ106" i="1"/>
  <c r="AP106" i="1"/>
  <c r="AQ105" i="1"/>
  <c r="AP105" i="1"/>
  <c r="AQ104" i="1"/>
  <c r="AP104" i="1"/>
  <c r="AQ103" i="1"/>
  <c r="AP103" i="1"/>
  <c r="AQ102" i="1"/>
  <c r="AP102" i="1"/>
  <c r="AQ101" i="1"/>
  <c r="AP101" i="1"/>
  <c r="AQ100" i="1"/>
  <c r="AP100" i="1"/>
  <c r="AQ99" i="1"/>
  <c r="AP99" i="1"/>
  <c r="AQ98" i="1"/>
  <c r="AP98" i="1"/>
  <c r="AQ97" i="1"/>
  <c r="AP97" i="1"/>
  <c r="AQ96" i="1"/>
  <c r="AP96" i="1"/>
  <c r="AQ95" i="1"/>
  <c r="AP95" i="1"/>
  <c r="AQ94" i="1"/>
  <c r="AP94" i="1"/>
  <c r="AQ93" i="1"/>
  <c r="AP93" i="1"/>
  <c r="AQ92" i="1"/>
  <c r="AP92" i="1"/>
  <c r="AQ91" i="1"/>
  <c r="AP91" i="1"/>
  <c r="AQ90" i="1"/>
  <c r="AP90" i="1"/>
  <c r="AQ89" i="1"/>
  <c r="AP89" i="1"/>
  <c r="AQ88" i="1"/>
  <c r="AP88" i="1"/>
  <c r="AQ87" i="1"/>
  <c r="AP87" i="1"/>
  <c r="AQ86" i="1"/>
  <c r="AP86" i="1"/>
  <c r="AQ85" i="1"/>
  <c r="AP85" i="1"/>
  <c r="AQ84" i="1"/>
  <c r="AP84" i="1"/>
  <c r="AQ83" i="1"/>
  <c r="AP83" i="1"/>
  <c r="AQ82" i="1"/>
  <c r="AP82" i="1"/>
  <c r="AQ81" i="1"/>
  <c r="AP81" i="1"/>
  <c r="AQ80" i="1"/>
  <c r="AP80" i="1"/>
  <c r="AQ79" i="1"/>
  <c r="AP79" i="1"/>
  <c r="AQ78" i="1"/>
  <c r="AP78" i="1"/>
  <c r="AQ77" i="1"/>
  <c r="AP77" i="1"/>
  <c r="AQ76" i="1"/>
  <c r="AP76" i="1"/>
  <c r="AQ75" i="1"/>
  <c r="AP75" i="1"/>
  <c r="AQ74" i="1"/>
  <c r="AP74" i="1"/>
  <c r="AQ73" i="1"/>
  <c r="AP73" i="1"/>
  <c r="AQ72" i="1"/>
  <c r="AP72" i="1"/>
  <c r="AQ71" i="1"/>
  <c r="AP71" i="1"/>
  <c r="AQ70" i="1"/>
  <c r="AP70" i="1"/>
  <c r="AQ69" i="1"/>
  <c r="AP69" i="1"/>
  <c r="AQ68" i="1"/>
  <c r="AP68" i="1"/>
  <c r="AQ67" i="1"/>
  <c r="AP67" i="1"/>
  <c r="AQ66" i="1"/>
  <c r="AP66" i="1"/>
  <c r="AQ65" i="1"/>
  <c r="AP65" i="1"/>
  <c r="AQ64" i="1"/>
  <c r="AP64" i="1"/>
  <c r="AQ63" i="1"/>
  <c r="AP63" i="1"/>
  <c r="AQ62" i="1"/>
  <c r="AP62" i="1"/>
  <c r="AQ61" i="1"/>
  <c r="AP61" i="1"/>
  <c r="AQ60" i="1"/>
  <c r="AP60" i="1"/>
  <c r="AQ59" i="1"/>
  <c r="AP59" i="1"/>
  <c r="AQ58" i="1"/>
  <c r="AP58" i="1"/>
  <c r="AQ57" i="1"/>
  <c r="AP57" i="1"/>
  <c r="AQ56" i="1"/>
  <c r="AP56" i="1"/>
  <c r="AQ55" i="1"/>
  <c r="AP55" i="1"/>
  <c r="AQ54" i="1"/>
  <c r="AP54" i="1"/>
  <c r="AQ53" i="1"/>
  <c r="AP53" i="1"/>
  <c r="AQ52" i="1"/>
  <c r="AP52" i="1"/>
  <c r="AQ51" i="1"/>
  <c r="AP51" i="1"/>
  <c r="AQ50" i="1"/>
  <c r="AP50" i="1"/>
  <c r="AQ49" i="1"/>
  <c r="AP49" i="1"/>
  <c r="AQ48" i="1"/>
  <c r="AP48" i="1"/>
  <c r="AQ47" i="1"/>
  <c r="AP47" i="1"/>
  <c r="AQ46" i="1"/>
  <c r="AP46" i="1"/>
  <c r="AQ45" i="1"/>
  <c r="AP45" i="1"/>
  <c r="AQ44" i="1"/>
  <c r="AP44" i="1"/>
  <c r="AQ43" i="1"/>
  <c r="AP43" i="1"/>
  <c r="AQ42" i="1"/>
  <c r="AP42" i="1"/>
  <c r="AQ41" i="1"/>
  <c r="AP41" i="1"/>
  <c r="AQ40" i="1"/>
  <c r="AP40" i="1"/>
  <c r="AQ39" i="1"/>
  <c r="AP39" i="1"/>
  <c r="AQ38" i="1"/>
  <c r="AP38" i="1"/>
  <c r="AQ37" i="1"/>
  <c r="AP37" i="1"/>
  <c r="AQ36" i="1"/>
  <c r="AP36" i="1"/>
  <c r="AQ35" i="1"/>
  <c r="AP35" i="1"/>
  <c r="AQ34" i="1"/>
  <c r="AP34" i="1"/>
  <c r="AQ33" i="1"/>
  <c r="AP33" i="1"/>
  <c r="AQ32" i="1"/>
  <c r="AP32" i="1"/>
  <c r="AQ31" i="1"/>
  <c r="AP31" i="1"/>
  <c r="AQ30" i="1"/>
  <c r="AP30" i="1"/>
  <c r="AQ29" i="1"/>
  <c r="AP29" i="1"/>
  <c r="AQ28" i="1"/>
  <c r="AP28" i="1"/>
  <c r="AQ27" i="1"/>
  <c r="AP27" i="1"/>
  <c r="AQ26" i="1"/>
  <c r="AP26" i="1"/>
  <c r="AQ25" i="1"/>
  <c r="AP25" i="1"/>
  <c r="AQ24" i="1"/>
  <c r="AP24" i="1"/>
  <c r="AQ23" i="1"/>
  <c r="AP23" i="1"/>
  <c r="AQ22" i="1"/>
  <c r="AP22" i="1"/>
  <c r="AQ21" i="1"/>
  <c r="AP21" i="1"/>
  <c r="AQ20" i="1"/>
  <c r="AP20" i="1"/>
  <c r="AQ19" i="1"/>
  <c r="AP19" i="1"/>
  <c r="AQ18" i="1"/>
  <c r="AP18" i="1"/>
  <c r="AQ17" i="1"/>
  <c r="AP17" i="1"/>
  <c r="AQ16" i="1"/>
  <c r="AP16" i="1"/>
  <c r="AQ15" i="1"/>
  <c r="AP15" i="1"/>
  <c r="AQ14" i="1"/>
  <c r="AP14" i="1"/>
  <c r="AQ13" i="1"/>
  <c r="AP13" i="1"/>
  <c r="AQ12" i="1"/>
  <c r="AP12" i="1"/>
  <c r="AQ11" i="1"/>
  <c r="AP11" i="1"/>
  <c r="AQ10" i="1"/>
  <c r="AP10" i="1"/>
  <c r="AQ9" i="1"/>
  <c r="AP9" i="1"/>
  <c r="AQ8" i="1"/>
  <c r="AP8" i="1"/>
  <c r="AQ7" i="1"/>
  <c r="AP7" i="1"/>
  <c r="AQ6" i="1"/>
  <c r="AP6" i="1"/>
  <c r="AQ5" i="1"/>
  <c r="AP5" i="1"/>
  <c r="AQ4" i="1"/>
  <c r="AP4" i="1"/>
  <c r="AQ3" i="1"/>
  <c r="AP3" i="1"/>
  <c r="AQ2" i="1"/>
  <c r="AP2" i="1"/>
  <c r="AO2" i="1"/>
  <c r="CN591" i="1" l="1"/>
  <c r="CN590" i="1"/>
  <c r="CN589" i="1"/>
  <c r="CN588" i="1"/>
  <c r="CN587" i="1"/>
  <c r="CN586" i="1"/>
  <c r="CN585" i="1"/>
  <c r="CN584" i="1"/>
  <c r="CN583" i="1"/>
  <c r="CN582" i="1"/>
  <c r="CN581" i="1"/>
  <c r="CN580" i="1"/>
  <c r="CN579" i="1"/>
  <c r="CN578" i="1"/>
  <c r="CN555" i="1"/>
  <c r="CN554" i="1"/>
  <c r="CN553" i="1"/>
  <c r="CN552" i="1"/>
  <c r="CN551" i="1"/>
  <c r="CN550" i="1"/>
  <c r="CN549" i="1"/>
  <c r="CN548" i="1"/>
  <c r="CN547" i="1"/>
  <c r="CN546" i="1"/>
  <c r="CN545" i="1"/>
  <c r="CN544" i="1"/>
  <c r="CN527" i="1"/>
  <c r="CN526" i="1"/>
  <c r="CN521" i="1"/>
  <c r="CN520" i="1"/>
  <c r="CN519" i="1"/>
  <c r="CN518" i="1"/>
  <c r="CN517" i="1"/>
  <c r="CN516" i="1"/>
  <c r="CN515" i="1"/>
  <c r="CN514" i="1"/>
  <c r="CN513" i="1"/>
  <c r="CN512" i="1"/>
  <c r="CN511" i="1"/>
  <c r="CN510" i="1"/>
  <c r="CN509" i="1"/>
  <c r="CN508" i="1"/>
  <c r="CN507" i="1"/>
  <c r="CN506" i="1"/>
  <c r="CN505" i="1"/>
  <c r="CN504" i="1"/>
  <c r="CN503" i="1"/>
  <c r="CN502" i="1"/>
  <c r="CN501" i="1"/>
  <c r="CN500" i="1"/>
  <c r="CN499" i="1"/>
  <c r="CN498" i="1"/>
  <c r="CN497" i="1"/>
  <c r="CN496" i="1"/>
  <c r="CN495" i="1"/>
  <c r="CN494" i="1"/>
  <c r="CN454" i="1"/>
  <c r="CN453" i="1"/>
  <c r="CN452" i="1"/>
  <c r="CN451" i="1"/>
  <c r="CN450" i="1"/>
  <c r="CN449" i="1"/>
  <c r="CN448" i="1"/>
  <c r="CN447" i="1"/>
  <c r="CN446" i="1"/>
  <c r="CN445" i="1"/>
  <c r="CN444" i="1"/>
  <c r="CN443" i="1"/>
  <c r="CN442" i="1"/>
  <c r="CN441" i="1"/>
  <c r="CN440" i="1"/>
  <c r="CN439" i="1"/>
  <c r="CN438" i="1"/>
  <c r="CN437" i="1"/>
  <c r="CN436" i="1"/>
  <c r="CN435" i="1"/>
  <c r="CN409" i="1"/>
  <c r="CN408" i="1"/>
  <c r="CN407" i="1"/>
  <c r="CN406" i="1"/>
  <c r="CN405" i="1"/>
  <c r="CN404" i="1"/>
  <c r="CN403" i="1"/>
  <c r="CN402" i="1"/>
  <c r="CN401" i="1"/>
  <c r="CN400" i="1"/>
  <c r="CN399" i="1"/>
  <c r="CN398" i="1"/>
  <c r="CN397" i="1"/>
  <c r="CN392" i="1"/>
  <c r="CN391" i="1"/>
  <c r="CN390" i="1"/>
  <c r="CN389" i="1"/>
  <c r="CN388" i="1"/>
  <c r="CN387" i="1"/>
  <c r="CN370" i="1"/>
  <c r="CN369" i="1"/>
  <c r="CN368" i="1"/>
  <c r="CN367" i="1"/>
  <c r="CN366" i="1"/>
  <c r="CN365" i="1"/>
  <c r="CN364" i="1"/>
  <c r="CN363" i="1"/>
  <c r="CN362" i="1"/>
  <c r="CN359" i="1"/>
  <c r="CN358" i="1"/>
  <c r="CN357" i="1"/>
  <c r="CN356" i="1"/>
  <c r="CN341" i="1"/>
  <c r="CN340" i="1"/>
  <c r="CN339" i="1"/>
  <c r="CN338" i="1"/>
  <c r="CN334" i="1"/>
  <c r="CN333" i="1"/>
  <c r="CN332" i="1"/>
  <c r="CN331" i="1"/>
  <c r="CN330" i="1"/>
  <c r="CN329" i="1"/>
  <c r="CN328" i="1"/>
  <c r="CN327" i="1"/>
  <c r="CN326" i="1"/>
  <c r="CN325" i="1"/>
  <c r="CN324" i="1"/>
  <c r="CN323" i="1"/>
  <c r="CN322" i="1"/>
  <c r="CN321" i="1"/>
  <c r="CN320" i="1"/>
  <c r="CN319" i="1"/>
  <c r="CN318" i="1"/>
  <c r="CN317" i="1"/>
  <c r="CN316" i="1"/>
  <c r="CN315" i="1"/>
  <c r="CN314" i="1"/>
  <c r="CN313" i="1"/>
  <c r="CN308" i="1"/>
  <c r="CN307" i="1"/>
  <c r="CN306" i="1"/>
  <c r="CN305" i="1"/>
  <c r="CN304" i="1"/>
  <c r="CN303" i="1"/>
  <c r="CN302" i="1"/>
  <c r="CN301" i="1"/>
  <c r="CN300" i="1"/>
  <c r="CN299" i="1"/>
  <c r="CN298" i="1"/>
  <c r="CN289" i="1"/>
  <c r="CN288" i="1"/>
  <c r="CN287" i="1"/>
  <c r="CN274" i="1"/>
  <c r="CN273" i="1"/>
  <c r="CN272" i="1"/>
  <c r="CN271" i="1"/>
  <c r="CN270" i="1"/>
  <c r="CN269" i="1"/>
  <c r="CN264" i="1"/>
  <c r="CN263" i="1"/>
  <c r="CN262" i="1"/>
  <c r="CN261" i="1"/>
  <c r="CN260" i="1"/>
  <c r="CN258" i="1"/>
  <c r="CN257" i="1"/>
  <c r="CN256" i="1"/>
  <c r="CN255" i="1"/>
  <c r="CN254" i="1"/>
  <c r="CN253" i="1"/>
  <c r="CN252" i="1"/>
  <c r="CN251" i="1"/>
  <c r="CN250" i="1"/>
  <c r="CN249" i="1"/>
  <c r="CN248" i="1"/>
  <c r="CN247" i="1"/>
  <c r="CN246" i="1"/>
  <c r="CN245" i="1"/>
  <c r="CN244" i="1"/>
  <c r="CN243" i="1"/>
  <c r="CN242" i="1"/>
  <c r="CN241" i="1"/>
  <c r="CN240" i="1"/>
  <c r="CN239" i="1"/>
  <c r="CN238" i="1"/>
  <c r="CN237" i="1"/>
  <c r="CN236" i="1"/>
  <c r="CN235" i="1"/>
  <c r="CN234" i="1"/>
  <c r="CN178" i="1"/>
  <c r="CN177" i="1"/>
  <c r="CN176" i="1"/>
  <c r="CN175" i="1"/>
  <c r="CN174" i="1"/>
  <c r="CN173" i="1"/>
  <c r="CN172" i="1"/>
  <c r="CN171" i="1"/>
  <c r="CN170" i="1"/>
  <c r="CN169" i="1"/>
  <c r="CN168" i="1"/>
  <c r="CN167" i="1"/>
  <c r="CN158" i="1"/>
  <c r="CN157" i="1"/>
  <c r="CN156" i="1"/>
  <c r="CN155" i="1"/>
  <c r="CN154" i="1"/>
  <c r="CN153" i="1"/>
  <c r="CN152" i="1"/>
  <c r="CN151" i="1"/>
  <c r="CN150" i="1"/>
  <c r="CN149" i="1"/>
  <c r="CN148" i="1"/>
  <c r="CN141" i="1"/>
  <c r="CN140" i="1"/>
  <c r="CN139" i="1"/>
  <c r="CN138" i="1"/>
  <c r="CN137" i="1"/>
  <c r="CN136" i="1"/>
  <c r="CN135" i="1"/>
  <c r="CN134" i="1"/>
  <c r="CN133" i="1"/>
  <c r="CN132" i="1"/>
  <c r="CN131" i="1"/>
  <c r="CN130" i="1"/>
  <c r="CN129" i="1"/>
  <c r="CN126" i="1"/>
  <c r="CN125" i="1"/>
  <c r="CN124" i="1"/>
  <c r="CN123" i="1"/>
  <c r="CN122" i="1"/>
  <c r="CN116" i="1"/>
  <c r="CN115" i="1"/>
  <c r="CN114" i="1"/>
  <c r="CN113" i="1"/>
  <c r="CN112" i="1"/>
  <c r="CN111" i="1"/>
  <c r="CN110" i="1"/>
  <c r="CN109" i="1"/>
  <c r="CN108" i="1"/>
  <c r="CN107" i="1"/>
  <c r="CN106" i="1"/>
  <c r="CN105" i="1"/>
  <c r="CN104" i="1"/>
  <c r="CN103" i="1"/>
  <c r="CN102" i="1"/>
  <c r="CN101" i="1"/>
  <c r="CN100" i="1"/>
  <c r="CN99" i="1"/>
  <c r="CN98" i="1"/>
  <c r="CN97" i="1"/>
  <c r="CN96" i="1"/>
  <c r="CN95" i="1"/>
  <c r="CN94" i="1"/>
  <c r="CN93" i="1"/>
  <c r="CN92" i="1"/>
  <c r="CN82" i="1"/>
  <c r="CN81" i="1"/>
  <c r="CN80" i="1"/>
  <c r="CN79" i="1"/>
  <c r="CN71" i="1"/>
  <c r="CN70" i="1"/>
  <c r="CN69" i="1"/>
  <c r="CN68" i="1"/>
  <c r="CN67" i="1"/>
  <c r="CN66" i="1"/>
  <c r="CN65" i="1"/>
  <c r="CN64" i="1"/>
  <c r="CN63" i="1"/>
  <c r="CN62" i="1"/>
  <c r="CN61" i="1"/>
  <c r="CN60" i="1"/>
  <c r="CN59" i="1"/>
  <c r="CN58" i="1"/>
  <c r="CN57" i="1"/>
  <c r="CN56" i="1"/>
  <c r="CN55" i="1"/>
  <c r="CN54" i="1"/>
  <c r="CN53" i="1"/>
  <c r="CN52" i="1"/>
  <c r="CN51" i="1"/>
  <c r="CN50" i="1"/>
  <c r="CN49" i="1"/>
  <c r="CN48" i="1"/>
  <c r="CN47" i="1"/>
  <c r="CN46" i="1"/>
  <c r="CN45" i="1"/>
  <c r="CN44" i="1"/>
  <c r="CN43" i="1"/>
  <c r="CN42" i="1"/>
  <c r="CN41" i="1"/>
  <c r="CN40" i="1"/>
  <c r="CN39" i="1"/>
  <c r="CN38" i="1"/>
  <c r="CN37" i="1"/>
  <c r="CN36" i="1"/>
  <c r="CN35" i="1"/>
  <c r="CN34" i="1"/>
  <c r="CN33" i="1"/>
  <c r="CN32" i="1"/>
  <c r="CN31" i="1"/>
  <c r="CN30" i="1"/>
  <c r="CN29" i="1"/>
  <c r="CN28" i="1"/>
  <c r="CN27" i="1"/>
  <c r="CN26" i="1"/>
  <c r="CN25" i="1"/>
  <c r="CN24" i="1"/>
  <c r="CN23" i="1"/>
  <c r="CN10" i="1"/>
  <c r="CN9" i="1"/>
  <c r="CN8" i="1"/>
  <c r="CN7" i="1"/>
  <c r="CN6" i="1"/>
  <c r="CN5" i="1"/>
  <c r="CN4" i="1"/>
  <c r="CN3" i="1"/>
  <c r="CN2" i="1"/>
  <c r="CL591" i="1"/>
  <c r="CL590" i="1"/>
  <c r="CL589" i="1"/>
  <c r="CL588" i="1"/>
  <c r="CL587" i="1"/>
  <c r="CL586" i="1"/>
  <c r="CL555" i="1"/>
  <c r="CL554" i="1"/>
  <c r="CL553" i="1"/>
  <c r="CL552" i="1"/>
  <c r="CL551" i="1"/>
  <c r="CL550" i="1"/>
  <c r="CL549" i="1"/>
  <c r="CL548" i="1"/>
  <c r="CL547" i="1"/>
  <c r="CL546" i="1"/>
  <c r="CL545" i="1"/>
  <c r="CL539" i="1"/>
  <c r="CL538" i="1"/>
  <c r="CL537" i="1"/>
  <c r="CL536" i="1"/>
  <c r="CL535" i="1"/>
  <c r="CL534" i="1"/>
  <c r="CL533" i="1"/>
  <c r="CL532" i="1"/>
  <c r="CL531" i="1"/>
  <c r="CL530" i="1"/>
  <c r="CL529" i="1"/>
  <c r="CL528" i="1"/>
  <c r="CL527" i="1"/>
  <c r="CL526" i="1"/>
  <c r="CL524" i="1"/>
  <c r="CL456" i="1"/>
  <c r="CL455" i="1"/>
  <c r="CL442" i="1"/>
  <c r="CL441" i="1"/>
  <c r="CL440" i="1"/>
  <c r="CL439" i="1"/>
  <c r="CL438" i="1"/>
  <c r="CL437" i="1"/>
  <c r="CL436" i="1"/>
  <c r="CL435" i="1"/>
  <c r="CL370" i="1"/>
  <c r="CL369" i="1"/>
  <c r="CL368" i="1"/>
  <c r="CL367" i="1"/>
  <c r="CL366" i="1"/>
  <c r="CL365" i="1"/>
  <c r="CL364" i="1"/>
  <c r="CL359" i="1"/>
  <c r="CL358" i="1"/>
  <c r="CL357" i="1"/>
  <c r="CL356" i="1"/>
  <c r="CL272" i="1"/>
  <c r="CL271" i="1"/>
  <c r="CL270" i="1"/>
  <c r="CL269" i="1"/>
  <c r="CL265" i="1"/>
  <c r="CL264" i="1"/>
  <c r="CL263" i="1"/>
  <c r="CL262" i="1"/>
  <c r="CL261" i="1"/>
  <c r="CL260" i="1"/>
  <c r="CL259" i="1"/>
  <c r="CL166" i="1"/>
  <c r="CL165" i="1"/>
  <c r="CL164" i="1"/>
  <c r="CL163" i="1"/>
  <c r="CL147" i="1"/>
  <c r="CL146" i="1"/>
  <c r="CL145" i="1"/>
  <c r="CL144" i="1"/>
  <c r="CL143" i="1"/>
  <c r="CL142" i="1"/>
  <c r="CL141" i="1"/>
  <c r="CL140" i="1"/>
  <c r="CL139" i="1"/>
  <c r="CL138" i="1"/>
  <c r="CL137" i="1"/>
  <c r="CL136" i="1"/>
  <c r="CL135" i="1"/>
  <c r="CL116" i="1"/>
  <c r="CL115" i="1"/>
  <c r="CL114" i="1"/>
  <c r="CL113" i="1"/>
  <c r="CL108" i="1"/>
  <c r="CL107" i="1"/>
  <c r="CL106" i="1"/>
  <c r="CL105" i="1"/>
  <c r="CL104" i="1"/>
  <c r="CL103" i="1"/>
  <c r="CL102" i="1"/>
  <c r="CL101" i="1"/>
  <c r="CL100" i="1"/>
  <c r="CL99" i="1"/>
  <c r="CL98" i="1"/>
  <c r="CL97" i="1"/>
  <c r="CL96" i="1"/>
  <c r="CL95" i="1"/>
  <c r="CL94" i="1"/>
  <c r="CL93" i="1"/>
  <c r="CL92" i="1"/>
  <c r="CL67" i="1"/>
  <c r="CL66" i="1"/>
  <c r="CL65" i="1"/>
  <c r="CL64" i="1"/>
  <c r="CL63" i="1"/>
  <c r="CL62" i="1"/>
  <c r="CL61" i="1"/>
  <c r="CL60" i="1"/>
  <c r="CL59" i="1"/>
  <c r="CL58" i="1"/>
  <c r="CL57" i="1"/>
  <c r="CL56" i="1"/>
  <c r="CL55" i="1"/>
  <c r="CL54" i="1"/>
  <c r="CL53" i="1"/>
  <c r="CL52" i="1"/>
  <c r="CL51" i="1"/>
  <c r="CL50" i="1"/>
  <c r="CL49" i="1"/>
  <c r="CL48" i="1"/>
  <c r="CL47" i="1"/>
  <c r="CL46" i="1"/>
  <c r="CL45" i="1"/>
  <c r="CL44" i="1"/>
  <c r="CL43" i="1"/>
  <c r="CL42" i="1"/>
  <c r="CL41" i="1"/>
  <c r="CL40" i="1"/>
  <c r="CL39" i="1"/>
  <c r="CL38" i="1"/>
  <c r="CL37" i="1"/>
  <c r="CL36" i="1"/>
  <c r="CL35" i="1"/>
  <c r="CL34" i="1"/>
  <c r="CL33" i="1"/>
  <c r="CL32" i="1"/>
  <c r="CL7" i="1"/>
  <c r="CL6" i="1"/>
  <c r="CL5" i="1"/>
  <c r="CL4" i="1"/>
  <c r="CL3" i="1"/>
  <c r="CL2" i="1"/>
  <c r="CC591" i="1"/>
  <c r="CC590" i="1"/>
  <c r="CC589" i="1"/>
  <c r="CC588" i="1"/>
  <c r="CC587" i="1"/>
  <c r="CC586" i="1"/>
  <c r="CC585" i="1"/>
  <c r="CC584" i="1"/>
  <c r="CC583" i="1"/>
  <c r="CC582" i="1"/>
  <c r="CC581" i="1"/>
  <c r="CC580" i="1"/>
  <c r="CC579" i="1"/>
  <c r="CC578" i="1"/>
  <c r="CC555" i="1"/>
  <c r="CC554" i="1"/>
  <c r="CC553" i="1"/>
  <c r="CC552" i="1"/>
  <c r="CC551" i="1"/>
  <c r="CC550" i="1"/>
  <c r="CC549" i="1"/>
  <c r="CC548" i="1"/>
  <c r="CC547" i="1"/>
  <c r="CC546" i="1"/>
  <c r="CC545" i="1"/>
  <c r="CC544" i="1"/>
  <c r="CC539" i="1"/>
  <c r="CC538" i="1"/>
  <c r="CC537" i="1"/>
  <c r="CC536" i="1"/>
  <c r="CC535" i="1"/>
  <c r="CC534" i="1"/>
  <c r="CC533" i="1"/>
  <c r="CC532" i="1"/>
  <c r="CC531" i="1"/>
  <c r="CC530" i="1"/>
  <c r="CC529" i="1"/>
  <c r="CC528" i="1"/>
  <c r="CC527" i="1"/>
  <c r="CC526" i="1"/>
  <c r="CC525" i="1"/>
  <c r="CC524" i="1"/>
  <c r="CC523" i="1"/>
  <c r="CC522" i="1"/>
  <c r="CC521" i="1"/>
  <c r="CC520" i="1"/>
  <c r="CC519" i="1"/>
  <c r="CC518" i="1"/>
  <c r="CC517" i="1"/>
  <c r="CC516" i="1"/>
  <c r="CC515" i="1"/>
  <c r="CC514" i="1"/>
  <c r="CC513" i="1"/>
  <c r="CC512" i="1"/>
  <c r="CC511" i="1"/>
  <c r="CC510" i="1"/>
  <c r="CC509" i="1"/>
  <c r="CC508" i="1"/>
  <c r="CC507" i="1"/>
  <c r="CC506" i="1"/>
  <c r="CC505" i="1"/>
  <c r="CC504" i="1"/>
  <c r="CC503" i="1"/>
  <c r="CC456" i="1"/>
  <c r="CC455" i="1"/>
  <c r="CC454" i="1"/>
  <c r="CC453" i="1"/>
  <c r="CC452" i="1"/>
  <c r="CC451" i="1"/>
  <c r="CC450" i="1"/>
  <c r="CC449" i="1"/>
  <c r="CC448" i="1"/>
  <c r="CC447" i="1"/>
  <c r="CC446" i="1"/>
  <c r="CC445" i="1"/>
  <c r="CC444" i="1"/>
  <c r="CC443" i="1"/>
  <c r="CC442" i="1"/>
  <c r="CC441" i="1"/>
  <c r="CC440" i="1"/>
  <c r="CC439" i="1"/>
  <c r="CC438" i="1"/>
  <c r="CC437" i="1"/>
  <c r="CC436" i="1"/>
  <c r="CC435" i="1"/>
  <c r="CC434" i="1"/>
  <c r="CC433" i="1"/>
  <c r="CC432" i="1"/>
  <c r="CC431" i="1"/>
  <c r="CC430" i="1"/>
  <c r="CC429" i="1"/>
  <c r="CC428" i="1"/>
  <c r="CC427" i="1"/>
  <c r="CC426" i="1"/>
  <c r="CC425" i="1"/>
  <c r="CC424" i="1"/>
  <c r="CC423" i="1"/>
  <c r="CC409" i="1"/>
  <c r="CC408" i="1"/>
  <c r="CC407" i="1"/>
  <c r="CC406" i="1"/>
  <c r="CC374" i="1"/>
  <c r="CC373" i="1"/>
  <c r="CC372" i="1"/>
  <c r="CC371" i="1"/>
  <c r="CC366" i="1"/>
  <c r="CC365" i="1"/>
  <c r="CC364" i="1"/>
  <c r="CC359" i="1"/>
  <c r="CC358" i="1"/>
  <c r="CC357" i="1"/>
  <c r="CC356" i="1"/>
  <c r="CC351" i="1"/>
  <c r="CC350" i="1"/>
  <c r="CC349" i="1"/>
  <c r="CC348" i="1"/>
  <c r="CC347" i="1"/>
  <c r="CC346" i="1"/>
  <c r="CC345" i="1"/>
  <c r="CC344" i="1"/>
  <c r="CC343" i="1"/>
  <c r="CC342" i="1"/>
  <c r="CC341" i="1"/>
  <c r="CC340" i="1"/>
  <c r="CC339" i="1"/>
  <c r="CC338" i="1"/>
  <c r="CC337" i="1"/>
  <c r="CC336" i="1"/>
  <c r="CC335" i="1"/>
  <c r="CC320" i="1"/>
  <c r="CC319" i="1"/>
  <c r="CC318" i="1"/>
  <c r="CC314" i="1"/>
  <c r="CC313" i="1"/>
  <c r="CC307" i="1"/>
  <c r="CC306" i="1"/>
  <c r="CC305" i="1"/>
  <c r="CC304" i="1"/>
  <c r="CC303" i="1"/>
  <c r="CC302" i="1"/>
  <c r="CC301" i="1"/>
  <c r="CC300" i="1"/>
  <c r="CC299" i="1"/>
  <c r="CC298" i="1"/>
  <c r="CC297" i="1"/>
  <c r="CC296" i="1"/>
  <c r="CC295" i="1"/>
  <c r="CC294" i="1"/>
  <c r="CC274" i="1"/>
  <c r="CC273" i="1"/>
  <c r="CC272" i="1"/>
  <c r="CC271" i="1"/>
  <c r="CC270" i="1"/>
  <c r="CC269" i="1"/>
  <c r="CC268" i="1"/>
  <c r="CC267" i="1"/>
  <c r="CC266" i="1"/>
  <c r="CC265" i="1"/>
  <c r="CC264" i="1"/>
  <c r="CC263" i="1"/>
  <c r="CC262" i="1"/>
  <c r="CC261" i="1"/>
  <c r="CC260" i="1"/>
  <c r="CC259" i="1"/>
  <c r="CC258" i="1"/>
  <c r="CC257" i="1"/>
  <c r="CC256" i="1"/>
  <c r="CC255" i="1"/>
  <c r="CC254" i="1"/>
  <c r="CC253" i="1"/>
  <c r="CC252" i="1"/>
  <c r="CC251" i="1"/>
  <c r="CC250" i="1"/>
  <c r="CC249" i="1"/>
  <c r="CC248" i="1"/>
  <c r="CC247" i="1"/>
  <c r="CC246" i="1"/>
  <c r="CC245" i="1"/>
  <c r="CC244" i="1"/>
  <c r="CC237" i="1"/>
  <c r="CC236" i="1"/>
  <c r="CC235" i="1"/>
  <c r="CC234" i="1"/>
  <c r="CC233" i="1"/>
  <c r="CC232" i="1"/>
  <c r="CC231" i="1"/>
  <c r="CC230" i="1"/>
  <c r="CC225" i="1"/>
  <c r="CC224" i="1"/>
  <c r="CC223" i="1"/>
  <c r="CC222" i="1"/>
  <c r="CC171" i="1"/>
  <c r="CC170" i="1"/>
  <c r="CC169" i="1"/>
  <c r="CC168" i="1"/>
  <c r="CC167" i="1"/>
  <c r="CC166" i="1"/>
  <c r="CC165" i="1"/>
  <c r="CC164" i="1"/>
  <c r="CC163" i="1"/>
  <c r="CC162" i="1"/>
  <c r="CC161" i="1"/>
  <c r="CC160" i="1"/>
  <c r="CC159" i="1"/>
  <c r="CC158" i="1"/>
  <c r="CC157" i="1"/>
  <c r="CC156" i="1"/>
  <c r="CC155" i="1"/>
  <c r="CC154" i="1"/>
  <c r="CC153" i="1"/>
  <c r="CC152" i="1"/>
  <c r="CC151" i="1"/>
  <c r="CC150" i="1"/>
  <c r="CC149" i="1"/>
  <c r="CC148" i="1"/>
  <c r="CC147" i="1"/>
  <c r="CC146" i="1"/>
  <c r="CC145" i="1"/>
  <c r="CC144" i="1"/>
  <c r="CC143" i="1"/>
  <c r="CC142" i="1"/>
  <c r="CC141" i="1"/>
  <c r="CC140" i="1"/>
  <c r="CC139" i="1"/>
  <c r="CC138" i="1"/>
  <c r="CC137" i="1"/>
  <c r="CC136" i="1"/>
  <c r="CC135" i="1"/>
  <c r="CC134" i="1"/>
  <c r="CC133" i="1"/>
  <c r="CC132" i="1"/>
  <c r="CC131" i="1"/>
  <c r="CC130" i="1"/>
  <c r="CC129" i="1"/>
  <c r="CC128" i="1"/>
  <c r="CC127" i="1"/>
  <c r="CC126" i="1"/>
  <c r="CC125" i="1"/>
  <c r="CC124" i="1"/>
  <c r="CC123" i="1"/>
  <c r="CC122" i="1"/>
  <c r="CC121" i="1"/>
  <c r="CC120" i="1"/>
  <c r="CC119" i="1"/>
  <c r="CC118" i="1"/>
  <c r="CC117" i="1"/>
  <c r="CC116" i="1"/>
  <c r="CC115" i="1"/>
  <c r="CC114" i="1"/>
  <c r="CC113" i="1"/>
  <c r="CC112" i="1"/>
  <c r="CC111" i="1"/>
  <c r="CC110" i="1"/>
  <c r="CC109" i="1"/>
  <c r="CC108" i="1"/>
  <c r="CC107" i="1"/>
  <c r="CC106" i="1"/>
  <c r="CC105" i="1"/>
  <c r="CC104" i="1"/>
  <c r="CC103" i="1"/>
  <c r="CC102" i="1"/>
  <c r="CC101" i="1"/>
  <c r="CC100" i="1"/>
  <c r="CC99" i="1"/>
  <c r="CC98" i="1"/>
  <c r="CC97" i="1"/>
  <c r="CC96" i="1"/>
  <c r="CC95" i="1"/>
  <c r="CC94" i="1"/>
  <c r="CC93" i="1"/>
  <c r="CC92" i="1"/>
  <c r="CC78" i="1"/>
  <c r="CC77" i="1"/>
  <c r="CC75" i="1"/>
  <c r="CC74" i="1"/>
  <c r="CC72" i="1"/>
  <c r="CC67" i="1"/>
  <c r="CC66" i="1"/>
  <c r="CC65" i="1"/>
  <c r="CC64" i="1"/>
  <c r="CC63" i="1"/>
  <c r="CC62" i="1"/>
  <c r="CC61" i="1"/>
  <c r="CC60" i="1"/>
  <c r="CC59" i="1"/>
  <c r="CC58" i="1"/>
  <c r="CC57" i="1"/>
  <c r="CC56" i="1"/>
  <c r="CC55" i="1"/>
  <c r="CC54" i="1"/>
  <c r="CC53" i="1"/>
  <c r="CC52" i="1"/>
  <c r="CC51" i="1"/>
  <c r="CC50" i="1"/>
  <c r="CC49" i="1"/>
  <c r="CC48" i="1"/>
  <c r="CC47" i="1"/>
  <c r="CC46" i="1"/>
  <c r="CC45" i="1"/>
  <c r="CC44" i="1"/>
  <c r="CC43" i="1"/>
  <c r="CC42" i="1"/>
  <c r="CC41" i="1"/>
  <c r="CC40" i="1"/>
  <c r="CC39" i="1"/>
  <c r="CC38" i="1"/>
  <c r="CC37" i="1"/>
  <c r="CC36" i="1"/>
  <c r="CC35" i="1"/>
  <c r="CC34" i="1"/>
  <c r="CC33" i="1"/>
  <c r="CC32" i="1"/>
  <c r="CC10" i="1"/>
  <c r="CC9" i="1"/>
  <c r="CC8" i="1"/>
  <c r="IH237" i="1" l="1"/>
  <c r="IH236" i="1"/>
  <c r="IH235" i="1"/>
  <c r="IH234" i="1"/>
  <c r="IL237" i="1"/>
  <c r="IL236" i="1"/>
  <c r="IL234" i="1"/>
  <c r="IL235" i="1"/>
  <c r="IP147" i="1" l="1"/>
  <c r="IH147" i="1"/>
  <c r="IL147" i="1" s="1"/>
  <c r="IP146" i="1"/>
  <c r="IH146" i="1"/>
  <c r="IL146" i="1" s="1"/>
  <c r="IP145" i="1"/>
  <c r="IH145" i="1"/>
  <c r="IL145" i="1" s="1"/>
  <c r="IP144" i="1"/>
  <c r="IH144" i="1"/>
  <c r="IL144" i="1" s="1"/>
  <c r="IP143" i="1"/>
  <c r="IH143" i="1"/>
  <c r="IL143" i="1" s="1"/>
  <c r="IP142" i="1"/>
  <c r="IH142" i="1"/>
  <c r="IL142" i="1" s="1"/>
  <c r="IP141" i="1"/>
  <c r="IH141" i="1"/>
  <c r="IL141" i="1" s="1"/>
  <c r="IP140" i="1"/>
  <c r="IH140" i="1"/>
  <c r="IL140" i="1" s="1"/>
  <c r="IP139" i="1"/>
  <c r="IH139" i="1"/>
  <c r="IL139" i="1" s="1"/>
  <c r="IP138" i="1"/>
  <c r="IH138" i="1"/>
  <c r="IL138" i="1" s="1"/>
  <c r="IP137" i="1"/>
  <c r="IH137" i="1"/>
  <c r="IL137" i="1" s="1"/>
  <c r="IP136" i="1"/>
  <c r="IH136" i="1"/>
  <c r="IL136" i="1" s="1"/>
  <c r="IP135" i="1"/>
  <c r="IH135" i="1" l="1"/>
  <c r="IL135" i="1" s="1"/>
  <c r="IH116" i="1" l="1"/>
  <c r="IL116" i="1"/>
  <c r="KD493" i="1" l="1"/>
  <c r="KD492" i="1"/>
  <c r="KD489" i="1"/>
  <c r="KD488" i="1"/>
  <c r="KD487" i="1"/>
  <c r="KD486" i="1"/>
  <c r="KD485" i="1"/>
  <c r="KD482" i="1"/>
  <c r="KD479" i="1"/>
  <c r="KD476" i="1"/>
  <c r="KD473" i="1"/>
  <c r="KD320" i="1"/>
  <c r="KD319" i="1"/>
  <c r="KD318" i="1"/>
  <c r="KD351" i="1"/>
  <c r="KD350" i="1"/>
  <c r="KD349" i="1"/>
  <c r="KD348" i="1"/>
  <c r="KD312" i="1"/>
  <c r="KD311" i="1"/>
  <c r="KD310" i="1"/>
  <c r="KD309" i="1"/>
  <c r="KD308" i="1"/>
  <c r="KD268" i="1"/>
  <c r="KD267" i="1"/>
  <c r="KD266" i="1"/>
  <c r="KD166" i="1"/>
  <c r="KD165" i="1"/>
  <c r="KD164" i="1"/>
  <c r="KD163" i="1"/>
  <c r="KD116" i="1"/>
  <c r="KD115" i="1"/>
  <c r="KD114" i="1"/>
  <c r="KD113" i="1"/>
  <c r="KD112" i="1"/>
  <c r="KD111" i="1"/>
  <c r="KD110" i="1"/>
  <c r="KD109" i="1"/>
  <c r="AO5" i="1" l="1"/>
  <c r="AO7" i="1"/>
  <c r="AO4" i="1"/>
  <c r="CI591" i="1"/>
  <c r="CI590" i="1"/>
  <c r="CI589" i="1"/>
  <c r="CI588" i="1"/>
  <c r="CI587" i="1"/>
  <c r="CI586" i="1"/>
  <c r="CI585" i="1"/>
  <c r="CI584" i="1"/>
  <c r="CI583" i="1"/>
  <c r="CI582" i="1"/>
  <c r="CI581" i="1"/>
  <c r="CI580" i="1"/>
  <c r="CI579" i="1"/>
  <c r="CI578" i="1"/>
  <c r="CI516" i="1"/>
  <c r="CI515" i="1"/>
  <c r="CI514" i="1"/>
  <c r="CI513" i="1"/>
  <c r="CI512" i="1"/>
  <c r="CI511" i="1"/>
  <c r="CI510" i="1"/>
  <c r="CI509" i="1"/>
  <c r="CI508" i="1"/>
  <c r="CI507" i="1"/>
  <c r="CI506" i="1"/>
  <c r="CI505" i="1"/>
  <c r="CI504" i="1"/>
  <c r="CI503" i="1"/>
  <c r="CI454" i="1"/>
  <c r="CI453" i="1"/>
  <c r="CI452" i="1"/>
  <c r="CI451" i="1"/>
  <c r="CI450" i="1"/>
  <c r="CI449" i="1"/>
  <c r="CI448" i="1"/>
  <c r="CI447" i="1"/>
  <c r="CI446" i="1"/>
  <c r="CI445" i="1"/>
  <c r="CI444" i="1"/>
  <c r="CI443" i="1"/>
  <c r="CI363" i="1"/>
  <c r="CI362" i="1"/>
  <c r="CI359" i="1"/>
  <c r="CI358" i="1"/>
  <c r="CI357" i="1"/>
  <c r="CI356" i="1"/>
  <c r="CI334" i="1"/>
  <c r="CI333" i="1"/>
  <c r="CI332" i="1"/>
  <c r="CI331" i="1"/>
  <c r="CI330" i="1"/>
  <c r="CI329" i="1"/>
  <c r="CI328" i="1"/>
  <c r="CI327" i="1"/>
  <c r="CI326" i="1"/>
  <c r="CI325" i="1"/>
  <c r="CI324" i="1"/>
  <c r="CI323" i="1"/>
  <c r="CI322" i="1"/>
  <c r="CI321" i="1"/>
  <c r="CI320" i="1"/>
  <c r="CI319" i="1"/>
  <c r="CI318" i="1"/>
  <c r="CI317" i="1"/>
  <c r="CI316" i="1"/>
  <c r="CI315" i="1"/>
  <c r="CI314" i="1"/>
  <c r="CI313" i="1"/>
  <c r="CI307" i="1"/>
  <c r="CI306" i="1"/>
  <c r="CI305" i="1"/>
  <c r="CI304" i="1"/>
  <c r="CI303" i="1"/>
  <c r="CI233" i="1"/>
  <c r="CI232" i="1"/>
  <c r="CI231" i="1"/>
  <c r="CI230" i="1"/>
  <c r="CI220" i="1"/>
  <c r="CI219" i="1"/>
  <c r="CI218" i="1"/>
  <c r="CI217" i="1"/>
  <c r="CI216" i="1"/>
  <c r="CI215" i="1"/>
  <c r="CI178" i="1"/>
  <c r="CI177" i="1"/>
  <c r="CI176" i="1"/>
  <c r="CI175" i="1"/>
  <c r="CI174" i="1"/>
  <c r="CI173" i="1"/>
  <c r="CI172" i="1"/>
  <c r="CI82" i="1"/>
  <c r="CI81" i="1"/>
  <c r="CI80" i="1"/>
  <c r="CI79" i="1"/>
  <c r="CI71" i="1"/>
  <c r="CI70" i="1"/>
  <c r="CI69" i="1"/>
  <c r="CI68" i="1"/>
  <c r="CI67" i="1"/>
  <c r="CI66" i="1"/>
  <c r="CI65" i="1"/>
  <c r="CI64" i="1"/>
  <c r="CI63" i="1"/>
  <c r="CI62" i="1"/>
  <c r="CI10" i="1"/>
  <c r="CI9" i="1"/>
  <c r="CI8" i="1"/>
  <c r="AO3" i="1" l="1"/>
  <c r="JD527" i="1"/>
  <c r="JD526" i="1"/>
  <c r="JD454" i="1"/>
  <c r="JD453" i="1"/>
  <c r="JD452" i="1"/>
  <c r="JD451" i="1"/>
  <c r="JD450" i="1"/>
  <c r="JD449" i="1"/>
  <c r="JD448" i="1"/>
  <c r="JD447" i="1"/>
  <c r="JD446" i="1"/>
  <c r="JD445" i="1"/>
  <c r="JD444" i="1"/>
  <c r="JD443" i="1"/>
  <c r="JD386" i="1"/>
  <c r="JD385" i="1"/>
  <c r="JD384" i="1"/>
  <c r="JD383" i="1"/>
  <c r="JD382" i="1"/>
  <c r="JD381" i="1"/>
  <c r="JD380" i="1"/>
  <c r="JD379" i="1"/>
  <c r="JD378" i="1"/>
  <c r="JD377" i="1"/>
  <c r="JD376" i="1"/>
  <c r="JD375" i="1"/>
  <c r="JD166" i="1"/>
  <c r="JD165" i="1"/>
  <c r="JD164" i="1"/>
  <c r="JD163" i="1"/>
  <c r="AO9" i="1" l="1"/>
  <c r="AO6" i="1"/>
  <c r="JB251" i="1"/>
  <c r="JB250" i="1"/>
  <c r="JB249" i="1"/>
  <c r="JB248" i="1"/>
  <c r="JB247" i="1"/>
  <c r="JB246" i="1"/>
  <c r="JB245" i="1"/>
  <c r="JB244" i="1"/>
  <c r="AO10" i="1" l="1"/>
  <c r="AO8" i="1"/>
  <c r="BA220" i="1"/>
  <c r="BA219" i="1"/>
  <c r="BA218" i="1"/>
  <c r="BA217" i="1"/>
  <c r="BA216" i="1"/>
  <c r="BA215" i="1"/>
  <c r="BA108" i="1"/>
  <c r="BA107" i="1"/>
  <c r="AO12" i="1" l="1"/>
  <c r="AO11" i="1"/>
  <c r="AO14" i="1"/>
  <c r="DL506" i="1"/>
  <c r="DL505" i="1"/>
  <c r="DL504" i="1"/>
  <c r="DG506" i="1"/>
  <c r="DG505" i="1"/>
  <c r="DG504" i="1"/>
  <c r="DB506" i="1"/>
  <c r="DB505" i="1"/>
  <c r="DB504" i="1"/>
  <c r="DL503" i="1"/>
  <c r="DG503" i="1"/>
  <c r="DB503" i="1"/>
  <c r="DB337" i="1"/>
  <c r="DB336" i="1"/>
  <c r="DG337" i="1"/>
  <c r="DG336" i="1"/>
  <c r="DL337" i="1"/>
  <c r="DL336" i="1"/>
  <c r="DL335" i="1"/>
  <c r="DG335" i="1"/>
  <c r="DB335" i="1"/>
  <c r="DL293" i="1"/>
  <c r="DL292" i="1"/>
  <c r="DL291" i="1"/>
  <c r="DG293" i="1"/>
  <c r="DG292" i="1"/>
  <c r="DG291" i="1"/>
  <c r="DB293" i="1"/>
  <c r="DB292" i="1"/>
  <c r="DB291" i="1"/>
  <c r="DL290" i="1"/>
  <c r="DG290" i="1"/>
  <c r="DB290" i="1"/>
  <c r="DB254" i="1"/>
  <c r="DB253" i="1"/>
  <c r="DG254" i="1"/>
  <c r="DG253" i="1"/>
  <c r="DL254" i="1"/>
  <c r="DL253" i="1"/>
  <c r="DL252" i="1"/>
  <c r="DG252" i="1"/>
  <c r="DB252" i="1"/>
  <c r="AO13" i="1" l="1"/>
  <c r="AO18" i="1" l="1"/>
  <c r="AO16" i="1"/>
  <c r="AO15" i="1"/>
  <c r="AO22" i="1" l="1"/>
  <c r="AO17" i="1"/>
  <c r="AO21" i="1" l="1"/>
  <c r="AO20" i="1"/>
  <c r="AO19" i="1"/>
  <c r="AO23" i="1" l="1"/>
  <c r="AO31" i="1"/>
  <c r="AO26" i="1"/>
  <c r="AO25" i="1"/>
  <c r="AO24" i="1"/>
  <c r="AO28" i="1"/>
  <c r="AO27" i="1"/>
  <c r="AO29" i="1"/>
  <c r="AO30" i="1"/>
  <c r="AO36" i="1" l="1"/>
  <c r="AO41" i="1"/>
  <c r="AO35" i="1"/>
  <c r="AO40" i="1"/>
  <c r="AO39" i="1"/>
  <c r="AO34" i="1"/>
  <c r="AO37" i="1"/>
  <c r="AO38" i="1"/>
  <c r="AO32" i="1"/>
  <c r="AO33" i="1" l="1"/>
  <c r="AO59" i="1" l="1"/>
  <c r="AO60" i="1"/>
  <c r="AO53" i="1"/>
  <c r="AO50" i="1"/>
  <c r="AO58" i="1"/>
  <c r="AO49" i="1"/>
  <c r="AO54" i="1"/>
  <c r="AO46" i="1"/>
  <c r="AO45" i="1"/>
  <c r="AO56" i="1"/>
  <c r="AO48" i="1"/>
  <c r="AO61" i="1"/>
  <c r="AO52" i="1"/>
  <c r="AO57" i="1"/>
  <c r="AO47" i="1"/>
  <c r="AO51" i="1"/>
  <c r="AO55" i="1"/>
  <c r="AO44" i="1"/>
  <c r="AO42" i="1"/>
  <c r="AO43" i="1" l="1"/>
  <c r="AO62" i="1" l="1"/>
  <c r="AO63" i="1" l="1"/>
  <c r="AO64" i="1" l="1"/>
  <c r="AO66" i="1" l="1"/>
  <c r="AO65" i="1"/>
  <c r="AO67" i="1" l="1"/>
  <c r="AO70" i="1" l="1"/>
  <c r="AO69" i="1"/>
  <c r="AO71" i="1"/>
  <c r="AO68" i="1"/>
  <c r="AO76" i="1" l="1"/>
  <c r="AO78" i="1"/>
  <c r="AO74" i="1"/>
  <c r="AO75" i="1"/>
  <c r="AO77" i="1"/>
  <c r="AO72" i="1"/>
  <c r="AO73" i="1" l="1"/>
  <c r="AO81" i="1" l="1"/>
  <c r="AO82" i="1"/>
  <c r="AO79" i="1"/>
  <c r="AO80" i="1" l="1"/>
  <c r="AO85" i="1" l="1"/>
  <c r="AO83" i="1"/>
  <c r="AO84" i="1" l="1"/>
  <c r="AO88" i="1" l="1"/>
  <c r="AO86" i="1"/>
  <c r="AO87" i="1" l="1"/>
  <c r="AO91" i="1" l="1"/>
  <c r="AO89" i="1"/>
  <c r="AO90" i="1" l="1"/>
  <c r="AO94" i="1" l="1"/>
  <c r="AO95" i="1"/>
  <c r="AO92" i="1"/>
  <c r="AO93" i="1" l="1"/>
  <c r="AO96" i="1" l="1"/>
  <c r="AO97" i="1" l="1"/>
  <c r="AO98" i="1" l="1"/>
  <c r="AO99" i="1" l="1"/>
  <c r="AO102" i="1" l="1"/>
  <c r="AO100" i="1"/>
  <c r="AO101" i="1" l="1"/>
  <c r="AO105" i="1" l="1"/>
  <c r="AO106" i="1"/>
  <c r="AO103" i="1"/>
  <c r="AO104" i="1" l="1"/>
  <c r="AO107" i="1" l="1"/>
  <c r="AO108" i="1" l="1"/>
  <c r="AO110" i="1" l="1"/>
  <c r="AO111" i="1"/>
  <c r="AO112" i="1"/>
  <c r="AO109" i="1"/>
  <c r="AO115" i="1" l="1"/>
  <c r="AO116" i="1"/>
  <c r="AO113" i="1"/>
  <c r="AO114" i="1" l="1"/>
  <c r="AO121" i="1" l="1"/>
  <c r="AO119" i="1"/>
  <c r="AO120" i="1"/>
  <c r="AO117" i="1"/>
  <c r="AO118" i="1" l="1"/>
  <c r="AO124" i="1" l="1"/>
  <c r="AO125" i="1"/>
  <c r="AO126" i="1"/>
  <c r="AO122" i="1"/>
  <c r="AO123" i="1" l="1"/>
  <c r="AO127" i="1" l="1"/>
  <c r="AO128" i="1" l="1"/>
  <c r="AO131" i="1" l="1"/>
  <c r="AO129" i="1"/>
  <c r="AO130" i="1" l="1"/>
  <c r="AO133" i="1" l="1"/>
  <c r="AO134" i="1"/>
  <c r="AO132" i="1"/>
  <c r="AO138" i="1" l="1"/>
  <c r="AO137" i="1"/>
  <c r="AO139" i="1"/>
  <c r="AO135" i="1"/>
  <c r="AO136" i="1" l="1"/>
  <c r="AO140" i="1" l="1"/>
  <c r="AO141" i="1" l="1"/>
  <c r="AO147" i="1" l="1"/>
  <c r="AO145" i="1"/>
  <c r="AO146" i="1"/>
  <c r="AO143" i="1"/>
  <c r="AO144" i="1"/>
  <c r="AO142" i="1"/>
  <c r="AO152" i="1" l="1"/>
  <c r="AO151" i="1"/>
  <c r="AO149" i="1"/>
  <c r="AO150" i="1"/>
  <c r="AO148" i="1"/>
  <c r="AO155" i="1" l="1"/>
  <c r="AO158" i="1"/>
  <c r="AO156" i="1"/>
  <c r="AO157" i="1"/>
  <c r="AO153" i="1"/>
  <c r="AO154" i="1" l="1"/>
  <c r="AO160" i="1" l="1"/>
  <c r="AO159" i="1"/>
  <c r="AO162" i="1" l="1"/>
  <c r="AO161" i="1"/>
  <c r="AO166" i="1" l="1"/>
  <c r="AO165" i="1"/>
  <c r="AO163" i="1"/>
  <c r="AO164" i="1" l="1"/>
  <c r="AO171" i="1" l="1"/>
  <c r="AO169" i="1"/>
  <c r="AO170" i="1"/>
  <c r="AO167" i="1"/>
  <c r="AO168" i="1" l="1"/>
  <c r="AO178" i="1" l="1"/>
  <c r="AO175" i="1"/>
  <c r="AO177" i="1"/>
  <c r="AO174" i="1"/>
  <c r="AO176" i="1"/>
  <c r="AO172" i="1"/>
  <c r="AO173" i="1" l="1"/>
  <c r="AO209" i="1"/>
  <c r="AO207" i="1"/>
  <c r="AO205" i="1"/>
  <c r="AO203" i="1"/>
  <c r="AO213" i="1"/>
  <c r="AO189" i="1"/>
  <c r="AO193" i="1"/>
  <c r="AO195" i="1" l="1"/>
  <c r="AO204" i="1"/>
  <c r="AO181" i="1"/>
  <c r="AO199" i="1"/>
  <c r="AO206" i="1"/>
  <c r="AO187" i="1"/>
  <c r="AO184" i="1"/>
  <c r="AO197" i="1"/>
  <c r="AO212" i="1"/>
  <c r="AO190" i="1"/>
  <c r="AO202" i="1"/>
  <c r="AO200" i="1"/>
  <c r="AO211" i="1"/>
  <c r="AO188" i="1"/>
  <c r="AO208" i="1"/>
  <c r="AO194" i="1"/>
  <c r="AO192" i="1"/>
  <c r="AO183" i="1"/>
  <c r="AO179" i="1"/>
  <c r="AO198" i="1"/>
  <c r="AO214" i="1"/>
  <c r="AO191" i="1"/>
  <c r="AO201" i="1"/>
  <c r="AO186" i="1"/>
  <c r="AO182" i="1"/>
  <c r="AO185" i="1"/>
  <c r="AO210" i="1"/>
  <c r="AO180" i="1" l="1"/>
  <c r="AO196" i="1" l="1"/>
  <c r="AO215" i="1" l="1"/>
  <c r="AO216" i="1"/>
  <c r="AO217" i="1"/>
  <c r="AO218" i="1" l="1"/>
  <c r="AO219" i="1"/>
  <c r="AO220" i="1"/>
  <c r="AO224" i="1" l="1"/>
  <c r="AO225" i="1"/>
  <c r="AO223" i="1"/>
  <c r="AO221" i="1"/>
  <c r="AO222" i="1" l="1"/>
  <c r="AO229" i="1" l="1"/>
  <c r="AO228" i="1"/>
  <c r="AO226" i="1"/>
  <c r="AO227" i="1" l="1"/>
  <c r="AO233" i="1" l="1"/>
  <c r="AO232" i="1"/>
  <c r="AO230" i="1"/>
  <c r="AO231" i="1" l="1"/>
  <c r="AO236" i="1" l="1"/>
  <c r="AO237" i="1"/>
  <c r="AO234" i="1"/>
  <c r="AO235" i="1" l="1"/>
  <c r="AO240" i="1" l="1"/>
  <c r="AO239" i="1"/>
  <c r="AO238" i="1"/>
  <c r="AO243" i="1" l="1"/>
  <c r="AO241" i="1"/>
  <c r="AO242" i="1" l="1"/>
  <c r="AO251" i="1" l="1"/>
  <c r="AO250" i="1"/>
  <c r="AO246" i="1"/>
  <c r="AO247" i="1"/>
  <c r="AO248" i="1"/>
  <c r="AO249" i="1"/>
  <c r="AO244" i="1"/>
  <c r="AO245" i="1" l="1"/>
  <c r="AO254" i="1" l="1"/>
  <c r="AO252" i="1"/>
  <c r="AO253" i="1" l="1"/>
  <c r="AO257" i="1" l="1"/>
  <c r="AO258" i="1"/>
  <c r="AO255" i="1"/>
  <c r="AO256" i="1" l="1"/>
  <c r="AO264" i="1" l="1"/>
  <c r="AO263" i="1"/>
  <c r="AO265" i="1"/>
  <c r="AO261" i="1"/>
  <c r="AO262" i="1"/>
  <c r="AO259" i="1"/>
  <c r="AO260" i="1" l="1"/>
  <c r="AO267" i="1" l="1"/>
  <c r="AO268" i="1"/>
  <c r="AO266" i="1"/>
  <c r="AO271" i="1" l="1"/>
  <c r="AO272" i="1"/>
  <c r="AO269" i="1"/>
  <c r="AO270" i="1" l="1"/>
  <c r="AO273" i="1" l="1"/>
  <c r="AO274" i="1" l="1"/>
  <c r="AO280" i="1" l="1"/>
  <c r="AO284" i="1"/>
  <c r="AO276" i="1"/>
  <c r="AO283" i="1"/>
  <c r="AO279" i="1"/>
  <c r="AO275" i="1"/>
  <c r="AO281" i="1" l="1"/>
  <c r="AO285" i="1"/>
  <c r="AO277" i="1"/>
  <c r="AO282" i="1" l="1"/>
  <c r="AO286" i="1"/>
  <c r="AO278" i="1"/>
  <c r="AO289" i="1" l="1"/>
  <c r="AO288" i="1"/>
  <c r="AO287" i="1"/>
  <c r="AO293" i="1" l="1"/>
  <c r="AO292" i="1"/>
  <c r="AO290" i="1"/>
  <c r="AO291" i="1" l="1"/>
  <c r="AO297" i="1" l="1"/>
  <c r="AO411" i="1"/>
  <c r="AO410" i="1"/>
  <c r="AO414" i="1"/>
  <c r="AO296" i="1"/>
  <c r="AO295" i="1"/>
  <c r="AO413" i="1"/>
  <c r="AO412" i="1"/>
  <c r="AO294" i="1"/>
  <c r="AO300" i="1" l="1"/>
  <c r="AO304" i="1"/>
  <c r="AO302" i="1"/>
  <c r="AO299" i="1"/>
  <c r="AO298" i="1"/>
  <c r="AO307" i="1"/>
  <c r="AO306" i="1"/>
  <c r="AO301" i="1"/>
  <c r="AO303" i="1"/>
  <c r="AO305" i="1"/>
  <c r="AO312" i="1" l="1"/>
  <c r="AO311" i="1"/>
  <c r="AO308" i="1"/>
  <c r="AO310" i="1"/>
  <c r="AO309" i="1" l="1"/>
  <c r="AO314" i="1" l="1"/>
  <c r="AO313" i="1"/>
  <c r="AO316" i="1" l="1"/>
  <c r="AO317" i="1"/>
  <c r="AO315" i="1"/>
  <c r="AO320" i="1" l="1"/>
  <c r="AO318" i="1"/>
  <c r="AO319" i="1" l="1"/>
  <c r="AO324" i="1" l="1"/>
  <c r="AO323" i="1"/>
  <c r="AO328" i="1"/>
  <c r="AO330" i="1"/>
  <c r="AO325" i="1"/>
  <c r="AO327" i="1"/>
  <c r="AO326" i="1"/>
  <c r="AO329" i="1"/>
  <c r="AO321" i="1"/>
  <c r="AO322" i="1" l="1"/>
  <c r="AO333" i="1" l="1"/>
  <c r="AO332" i="1"/>
  <c r="AO334" i="1"/>
  <c r="AO331" i="1"/>
  <c r="AO337" i="1" l="1"/>
  <c r="AO335" i="1"/>
  <c r="AO336" i="1" l="1"/>
  <c r="AO340" i="1" l="1"/>
  <c r="AO341" i="1"/>
  <c r="AO338" i="1"/>
  <c r="AO339" i="1" l="1"/>
  <c r="AO344" i="1" l="1"/>
  <c r="AO342" i="1"/>
  <c r="AO343" i="1" l="1"/>
  <c r="AO345" i="1" l="1"/>
  <c r="AO347" i="1"/>
  <c r="AO346" i="1" l="1"/>
  <c r="AO350" i="1" l="1"/>
  <c r="AO348" i="1"/>
  <c r="AO351" i="1" l="1"/>
  <c r="AO349" i="1"/>
  <c r="AO354" i="1" l="1"/>
  <c r="AO353" i="1"/>
  <c r="AO355" i="1"/>
  <c r="AO352" i="1"/>
  <c r="AO358" i="1" l="1"/>
  <c r="AO359" i="1"/>
  <c r="AO356" i="1"/>
  <c r="AO357" i="1" l="1"/>
  <c r="AO360" i="1" l="1"/>
  <c r="AO361" i="1" l="1"/>
  <c r="AO362" i="1" l="1"/>
  <c r="AO363" i="1" l="1"/>
  <c r="AO366" i="1" l="1"/>
  <c r="AO364" i="1"/>
  <c r="AO365" i="1" l="1"/>
  <c r="AO369" i="1" l="1"/>
  <c r="AO370" i="1"/>
  <c r="AO367" i="1"/>
  <c r="AO368" i="1" l="1"/>
  <c r="AO374" i="1" l="1"/>
  <c r="AO373" i="1"/>
  <c r="AO371" i="1"/>
  <c r="AO372" i="1" l="1"/>
  <c r="AO379" i="1" l="1"/>
  <c r="AO381" i="1"/>
  <c r="AO383" i="1"/>
  <c r="AO377" i="1"/>
  <c r="AO384" i="1"/>
  <c r="AO380" i="1"/>
  <c r="AO378" i="1"/>
  <c r="AO386" i="1"/>
  <c r="AO382" i="1"/>
  <c r="AO375" i="1"/>
  <c r="AO385" i="1"/>
  <c r="AO376" i="1" l="1"/>
  <c r="AO387" i="1" l="1"/>
  <c r="AO391" i="1"/>
  <c r="AO390" i="1"/>
  <c r="AO392" i="1"/>
  <c r="AO389" i="1"/>
  <c r="AO388" i="1" l="1"/>
  <c r="AO395" i="1" l="1"/>
  <c r="AO394" i="1"/>
  <c r="AO396" i="1"/>
  <c r="AO393" i="1"/>
  <c r="AO398" i="1" l="1"/>
  <c r="AO399" i="1"/>
  <c r="AO397" i="1"/>
  <c r="AO405" i="1" l="1"/>
  <c r="AO403" i="1"/>
  <c r="AO402" i="1"/>
  <c r="AO404" i="1"/>
  <c r="AO400" i="1"/>
  <c r="AO401" i="1" l="1"/>
  <c r="AO408" i="1" l="1"/>
  <c r="AO409" i="1"/>
  <c r="AO406" i="1"/>
  <c r="AO407" i="1" l="1"/>
  <c r="AO418" i="1" l="1"/>
  <c r="AO417" i="1"/>
  <c r="AO415" i="1"/>
  <c r="AO416" i="1" l="1"/>
  <c r="AO421" i="1" l="1"/>
  <c r="AO422" i="1"/>
  <c r="AO419" i="1"/>
  <c r="AO420" i="1" l="1"/>
  <c r="AO423" i="1" l="1"/>
  <c r="AO424" i="1" l="1"/>
  <c r="AO425" i="1" l="1"/>
  <c r="AO426" i="1" l="1"/>
  <c r="AO427" i="1" l="1"/>
  <c r="AO428" i="1" l="1"/>
  <c r="AO430" i="1" l="1"/>
  <c r="AO429" i="1"/>
  <c r="AO433" i="1" l="1"/>
  <c r="AO432" i="1"/>
  <c r="AO434" i="1"/>
  <c r="AO431" i="1"/>
  <c r="AO441" i="1" l="1"/>
  <c r="AO442" i="1"/>
  <c r="AO440" i="1"/>
  <c r="AO438" i="1"/>
  <c r="AO437" i="1"/>
  <c r="AO439" i="1"/>
  <c r="AO435" i="1"/>
  <c r="AO436" i="1" l="1"/>
  <c r="AO448" i="1" l="1"/>
  <c r="AO447" i="1"/>
  <c r="AO446" i="1"/>
  <c r="AO443" i="1"/>
  <c r="AO451" i="1"/>
  <c r="AO450" i="1"/>
  <c r="AO449" i="1"/>
  <c r="AO453" i="1"/>
  <c r="AO452" i="1"/>
  <c r="AO445" i="1"/>
  <c r="AO454" i="1"/>
  <c r="AO444" i="1" l="1"/>
  <c r="AO456" i="1" l="1"/>
  <c r="AO455" i="1"/>
  <c r="AO460" i="1" l="1"/>
  <c r="AO457" i="1"/>
  <c r="AO459" i="1"/>
  <c r="AO462" i="1" l="1"/>
  <c r="AO464" i="1"/>
  <c r="AO463" i="1"/>
  <c r="AO461" i="1"/>
  <c r="AO458" i="1"/>
  <c r="AO468" i="1" l="1"/>
  <c r="AO467" i="1"/>
  <c r="AO465" i="1"/>
  <c r="AO466" i="1" l="1"/>
  <c r="AO471" i="1" l="1"/>
  <c r="AO472" i="1"/>
  <c r="AO469" i="1"/>
  <c r="AO470" i="1" l="1"/>
  <c r="AO473" i="1"/>
  <c r="AO474" i="1" l="1"/>
  <c r="AO481" i="1"/>
  <c r="AO482" i="1"/>
  <c r="AO475" i="1"/>
  <c r="AO476" i="1"/>
  <c r="AO479" i="1"/>
  <c r="AO480" i="1"/>
  <c r="AO478" i="1"/>
  <c r="AO477" i="1" l="1"/>
  <c r="AO483" i="1" l="1"/>
  <c r="AO488" i="1"/>
  <c r="AO486" i="1"/>
  <c r="AO485" i="1"/>
  <c r="AO490" i="1"/>
  <c r="AO487" i="1"/>
  <c r="AO491" i="1"/>
  <c r="AO489" i="1"/>
  <c r="AO493" i="1"/>
  <c r="AO492" i="1"/>
  <c r="AO484" i="1"/>
  <c r="AO501" i="1" l="1"/>
  <c r="AO497" i="1"/>
  <c r="AO496" i="1"/>
  <c r="AO494" i="1"/>
  <c r="AO498" i="1"/>
  <c r="AO495" i="1"/>
  <c r="AO499" i="1"/>
  <c r="AO500" i="1"/>
  <c r="AO502" i="1"/>
  <c r="AO506" i="1" l="1"/>
  <c r="AO505" i="1"/>
  <c r="AO503" i="1"/>
  <c r="AO504" i="1" l="1"/>
  <c r="AO512" i="1" l="1"/>
  <c r="AO513" i="1"/>
  <c r="AO514" i="1"/>
  <c r="AO508" i="1"/>
  <c r="AO509" i="1"/>
  <c r="AO515" i="1"/>
  <c r="AO516" i="1"/>
  <c r="AO510" i="1"/>
  <c r="AO511" i="1"/>
  <c r="AO507" i="1"/>
  <c r="AO519" i="1" l="1"/>
  <c r="AO520" i="1"/>
  <c r="AO521" i="1"/>
  <c r="AO518" i="1"/>
  <c r="AO517" i="1"/>
  <c r="AO523" i="1" l="1"/>
  <c r="AO522" i="1"/>
  <c r="AO525" i="1" l="1"/>
  <c r="AO524" i="1"/>
  <c r="AO527" i="1" l="1"/>
  <c r="AO526" i="1"/>
  <c r="AO530" i="1" l="1"/>
  <c r="AO531" i="1"/>
  <c r="AO528" i="1"/>
  <c r="AO529" i="1" l="1"/>
  <c r="AO539" i="1" l="1"/>
  <c r="AO533" i="1"/>
  <c r="AO536" i="1"/>
  <c r="AO537" i="1"/>
  <c r="AO538" i="1"/>
  <c r="AO535" i="1"/>
  <c r="AO534" i="1"/>
  <c r="AO532" i="1"/>
  <c r="AO542" i="1" l="1"/>
  <c r="AO543" i="1"/>
  <c r="AO541" i="1"/>
  <c r="AO540" i="1"/>
  <c r="AO544" i="1" l="1"/>
  <c r="AO554" i="1"/>
  <c r="AO548" i="1"/>
  <c r="AO550" i="1"/>
  <c r="AO551" i="1"/>
  <c r="AO549" i="1"/>
  <c r="AO546" i="1"/>
  <c r="AO553" i="1"/>
  <c r="AO547" i="1"/>
  <c r="AO555" i="1"/>
  <c r="AO552" i="1"/>
  <c r="AO545" i="1" l="1"/>
  <c r="AO565" i="1" l="1"/>
  <c r="AO560" i="1"/>
  <c r="AO556" i="1"/>
  <c r="AO559" i="1"/>
  <c r="AO562" i="1"/>
  <c r="AO567" i="1"/>
  <c r="AO566" i="1"/>
  <c r="AO561" i="1"/>
  <c r="AO564" i="1"/>
  <c r="AO558" i="1"/>
  <c r="AO563" i="1"/>
  <c r="AO557" i="1" l="1"/>
  <c r="AO568" i="1" l="1"/>
  <c r="AO572" i="1"/>
  <c r="AO571" i="1"/>
  <c r="AO573" i="1"/>
  <c r="AO570" i="1"/>
  <c r="AO569" i="1" l="1"/>
  <c r="AO574" i="1" l="1"/>
  <c r="AO575" i="1"/>
  <c r="AO576" i="1" l="1"/>
  <c r="AO577" i="1" l="1"/>
  <c r="AO583" i="1"/>
  <c r="AO585" i="1"/>
  <c r="AO581" i="1"/>
  <c r="AO580" i="1" l="1"/>
  <c r="AO582" i="1"/>
  <c r="AO584" i="1"/>
  <c r="AO578" i="1"/>
  <c r="AO579" i="1"/>
  <c r="AO588" i="1" l="1"/>
  <c r="AO589" i="1"/>
  <c r="AO590" i="1"/>
  <c r="AO587" i="1"/>
  <c r="AO591" i="1"/>
  <c r="AO58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tc={54AFA7E4-F9CF-4947-BE82-2565D9FD8FAC}</author>
    <author>tc={C597807D-5AF5-48B8-991D-A113FC3E6A21}</author>
    <author>Joseph Poore</author>
    <author>tc={7EC37F35-EB47-4E50-9B97-936495DB475F}</author>
    <author>tc={81130EFD-C98C-40D2-9DBF-0328EC7CEA1B}</author>
    <author>tc={3E450519-39D1-4730-9B3B-7FB1693CCE12}</author>
    <author>tc={EDC1C27C-CF88-4456-8C35-1F4C83A2F929}</author>
  </authors>
  <commentList>
    <comment ref="JG1" authorId="0" shapeId="0" xr:uid="{54AFA7E4-F9CF-4947-BE82-2565D9FD8FAC}">
      <text>
        <t>[Threaded comment]
Your version of Excel allows you to read this threaded comment; however, any edits to it will get removed if the file is opened in a newer version of Excel. Learn more: https://go.microsoft.com/fwlink/?linkid=870924
Comment:
    Deleted this as the term “Previous product” was removed. Need to add these data back using land cover.</t>
      </text>
    </comment>
    <comment ref="JH1" authorId="1" shapeId="0" xr:uid="{C597807D-5AF5-48B8-991D-A113FC3E6A21}">
      <text>
        <t>[Threaded comment]
Your version of Excel allows you to read this threaded comment; however, any edits to it will get removed if the file is opened in a newer version of Excel. Learn more: https://go.microsoft.com/fwlink/?linkid=870924
Comment:
    Deleted this as the term “Previous product” was removed. Need to add these data back using land cover.</t>
      </text>
    </comment>
    <comment ref="CL2" authorId="2" shapeId="0" xr:uid="{6C594719-0DD1-4A37-8CAE-8DFE9C8D7CDD}">
      <text>
        <r>
          <rPr>
            <b/>
            <sz val="9"/>
            <color indexed="81"/>
            <rFont val="Tahoma"/>
            <family val="2"/>
          </rPr>
          <t>Joseph Poore:</t>
        </r>
        <r>
          <rPr>
            <sz val="9"/>
            <color indexed="81"/>
            <rFont val="Tahoma"/>
            <family val="2"/>
          </rPr>
          <t xml:space="preserve">
unclear if this includes grain DM</t>
        </r>
      </text>
    </comment>
    <comment ref="CN38" authorId="2" shapeId="0" xr:uid="{C493BED9-8209-44BA-A3B2-509DAD261AA4}">
      <text>
        <r>
          <rPr>
            <b/>
            <sz val="9"/>
            <color indexed="81"/>
            <rFont val="Tahoma"/>
            <family val="2"/>
          </rPr>
          <t>Joseph Poore:</t>
        </r>
        <r>
          <rPr>
            <sz val="9"/>
            <color indexed="81"/>
            <rFont val="Tahoma"/>
            <family val="2"/>
          </rPr>
          <t xml:space="preserve">
Not clear if this includes the catch crop or not</t>
        </r>
      </text>
    </comment>
    <comment ref="CI62" authorId="2" shapeId="0" xr:uid="{9EE9670F-9041-4BF8-B735-55BAC1DA18AD}">
      <text>
        <r>
          <rPr>
            <b/>
            <sz val="9"/>
            <color indexed="81"/>
            <rFont val="Tahoma"/>
            <family val="2"/>
          </rPr>
          <t>Joseph Poore:</t>
        </r>
        <r>
          <rPr>
            <sz val="9"/>
            <color indexed="81"/>
            <rFont val="Tahoma"/>
            <family val="2"/>
          </rPr>
          <t xml:space="preserve">
Study assumes 1.5m, but this seems very deep for irrigated crops</t>
        </r>
      </text>
    </comment>
    <comment ref="CC92" authorId="2" shapeId="0" xr:uid="{0129166D-91C4-424A-AF17-C56A7046FD00}">
      <text>
        <r>
          <rPr>
            <b/>
            <sz val="9"/>
            <color indexed="81"/>
            <rFont val="Tahoma"/>
            <family val="2"/>
          </rPr>
          <t>Joseph Poore:</t>
        </r>
        <r>
          <rPr>
            <sz val="9"/>
            <color indexed="81"/>
            <rFont val="Tahoma"/>
            <family val="2"/>
          </rPr>
          <t>12t/ha yield in "unfertilized" suggests there is significant N in the soil at the start of the experiment… is this causing bias? The experiment is not representative of long-term for sure</t>
        </r>
      </text>
    </comment>
    <comment ref="CC109" authorId="2" shapeId="0" xr:uid="{C94A86FC-8C7E-4AF3-AC8F-D9849A44AE5E}">
      <text>
        <r>
          <rPr>
            <b/>
            <sz val="9"/>
            <color indexed="81"/>
            <rFont val="Tahoma"/>
            <family val="2"/>
          </rPr>
          <t>Joseph Poore:</t>
        </r>
        <r>
          <rPr>
            <sz val="9"/>
            <color indexed="81"/>
            <rFont val="Tahoma"/>
            <family val="2"/>
          </rPr>
          <t xml:space="preserve">
not clear if this is in DM or FM</t>
        </r>
      </text>
    </comment>
    <comment ref="BZ269" authorId="3" shapeId="0" xr:uid="{7EC37F35-EB47-4E50-9B97-936495DB475F}">
      <text>
        <t>[Threaded comment]
Your version of Excel allows you to read this threaded comment; however, any edits to it will get removed if the file is opened in a newer version of Excel. Learn more: https://go.microsoft.com/fwlink/?linkid=870924
Comment:
    Need to use new term Sweet corn, ear</t>
      </text>
    </comment>
    <comment ref="BZ270" authorId="4" shapeId="0" xr:uid="{81130EFD-C98C-40D2-9DBF-0328EC7CEA1B}">
      <text>
        <t>[Threaded comment]
Your version of Excel allows you to read this threaded comment; however, any edits to it will get removed if the file is opened in a newer version of Excel. Learn more: https://go.microsoft.com/fwlink/?linkid=870924
Comment:
    Need to use new term Sweet corn, ear</t>
      </text>
    </comment>
    <comment ref="BZ271" authorId="5" shapeId="0" xr:uid="{3E450519-39D1-4730-9B3B-7FB1693CCE12}">
      <text>
        <t>[Threaded comment]
Your version of Excel allows you to read this threaded comment; however, any edits to it will get removed if the file is opened in a newer version of Excel. Learn more: https://go.microsoft.com/fwlink/?linkid=870924
Comment:
    Need to use new term Sweet corn, ear</t>
      </text>
    </comment>
    <comment ref="BZ272" authorId="6" shapeId="0" xr:uid="{EDC1C27C-CF88-4456-8C35-1F4C83A2F929}">
      <text>
        <t>[Threaded comment]
Your version of Excel allows you to read this threaded comment; however, any edits to it will get removed if the file is opened in a newer version of Excel. Learn more: https://go.microsoft.com/fwlink/?linkid=870924
Comment:
    Need to use new term Sweet corn, ear</t>
      </text>
    </comment>
    <comment ref="CI273" authorId="2" shapeId="0" xr:uid="{7EBF65CD-B0BC-4E32-9D49-7DEFFBB7B5DF}">
      <text>
        <r>
          <rPr>
            <b/>
            <sz val="9"/>
            <color indexed="81"/>
            <rFont val="Tahoma"/>
            <family val="2"/>
          </rPr>
          <t>Joseph Poore:</t>
        </r>
        <r>
          <rPr>
            <sz val="9"/>
            <color indexed="81"/>
            <rFont val="Tahoma"/>
            <family val="2"/>
          </rPr>
          <t xml:space="preserve">
State that most roots in this area with very few exploring up to 1m</t>
        </r>
      </text>
    </comment>
    <comment ref="CI274" authorId="2" shapeId="0" xr:uid="{F6F37109-717A-4429-B2C0-2EF3D715C653}">
      <text>
        <r>
          <rPr>
            <b/>
            <sz val="9"/>
            <color indexed="81"/>
            <rFont val="Tahoma"/>
            <family val="2"/>
          </rPr>
          <t>Joseph Poore:</t>
        </r>
        <r>
          <rPr>
            <sz val="9"/>
            <color indexed="81"/>
            <rFont val="Tahoma"/>
            <family val="2"/>
          </rPr>
          <t xml:space="preserve">
State that most roots in this area with very few exploring up to 1m</t>
        </r>
      </text>
    </comment>
    <comment ref="CI287" authorId="2" shapeId="0" xr:uid="{B8A9ED20-EC31-4DDA-92B9-DF6000A7C305}">
      <text>
        <r>
          <rPr>
            <b/>
            <sz val="9"/>
            <color indexed="81"/>
            <rFont val="Tahoma"/>
            <family val="2"/>
          </rPr>
          <t>Joseph Poore:</t>
        </r>
        <r>
          <rPr>
            <sz val="9"/>
            <color indexed="81"/>
            <rFont val="Tahoma"/>
            <family val="2"/>
          </rPr>
          <t xml:space="preserve">
Root zone sometimes reported as deep as 0.6 according to study</t>
        </r>
      </text>
    </comment>
  </commentList>
</comments>
</file>

<file path=xl/sharedStrings.xml><?xml version="1.0" encoding="utf-8"?>
<sst xmlns="http://schemas.openxmlformats.org/spreadsheetml/2006/main" count="85192" uniqueCount="1475">
  <si>
    <t>cycle.id</t>
  </si>
  <si>
    <t>-</t>
  </si>
  <si>
    <t>Murwira &amp; Kirchmann (1993)</t>
  </si>
  <si>
    <t>Nitrogen dynamics and maize growth in a Zimbabwean sandy soil under manure fertilisation</t>
  </si>
  <si>
    <t>Control</t>
  </si>
  <si>
    <t>Maize, grain</t>
  </si>
  <si>
    <t>Soil pH</t>
  </si>
  <si>
    <t>In Situ Incubation technique</t>
  </si>
  <si>
    <t>M</t>
  </si>
  <si>
    <t>M+N (pp)</t>
  </si>
  <si>
    <t>M+N (6wap)</t>
  </si>
  <si>
    <t>N (pp)</t>
  </si>
  <si>
    <t>N (6wap)</t>
  </si>
  <si>
    <t>Gigou (1986)</t>
  </si>
  <si>
    <t>50N</t>
  </si>
  <si>
    <t>Sorghum, grain; Cotton, raw fibre (seed cotton)</t>
  </si>
  <si>
    <t>Lysimeter</t>
  </si>
  <si>
    <t>100N</t>
  </si>
  <si>
    <t>50N+CR</t>
  </si>
  <si>
    <t>Sharma (1990)</t>
  </si>
  <si>
    <t>Studies on nitrogen leaching from Alfisols of Meghalaya</t>
  </si>
  <si>
    <t>S1T1 (control, no nitrogen)</t>
  </si>
  <si>
    <t>Potato, tuber</t>
  </si>
  <si>
    <t>S1T2 (100N)</t>
  </si>
  <si>
    <t>S1T3 (200N)</t>
  </si>
  <si>
    <t>S1T4 (200N + FYM)</t>
  </si>
  <si>
    <t>S2T1 (control, no nitrogen)</t>
  </si>
  <si>
    <t>S2T2 (100N)</t>
  </si>
  <si>
    <t>S2T3 (200N)</t>
  </si>
  <si>
    <t>S2T4 (200N + FYM)</t>
  </si>
  <si>
    <t>S3T1 (control, no nitrogen)</t>
  </si>
  <si>
    <t>S3T2 (100N)</t>
  </si>
  <si>
    <t>S3T3 (200N)</t>
  </si>
  <si>
    <t>S3T4 (200N + FYM)</t>
  </si>
  <si>
    <t>Nyamangara et al. (2003)</t>
  </si>
  <si>
    <t>Control (0-0)</t>
  </si>
  <si>
    <t>0-60</t>
  </si>
  <si>
    <t>0-120</t>
  </si>
  <si>
    <t>12.5-0</t>
  </si>
  <si>
    <t>12.5-60</t>
  </si>
  <si>
    <t>12.5-120</t>
  </si>
  <si>
    <t>37.5-0</t>
  </si>
  <si>
    <t>37.5-60</t>
  </si>
  <si>
    <t>37.5-120</t>
  </si>
  <si>
    <t>Thomsen et al. (1993)</t>
  </si>
  <si>
    <t>0N-C</t>
  </si>
  <si>
    <t>Lysimeters (cylindrical polyester tanks)</t>
  </si>
  <si>
    <t>1N-CAN-C</t>
  </si>
  <si>
    <t>1.5N-CAN-C</t>
  </si>
  <si>
    <t>1N-Slurry-C</t>
  </si>
  <si>
    <t>1.5N-Slurry-C</t>
  </si>
  <si>
    <t>0N-C-Catch</t>
  </si>
  <si>
    <t>1N-CAN-C-Catch</t>
  </si>
  <si>
    <t>1.5N-CAN-C-Catch</t>
  </si>
  <si>
    <t>1N-Slurry-C-Catch</t>
  </si>
  <si>
    <t>1.5N-Slurry-C-Catch</t>
  </si>
  <si>
    <t>0N-R</t>
  </si>
  <si>
    <t>1N-CAN-R</t>
  </si>
  <si>
    <t>1.5N-CAN-R</t>
  </si>
  <si>
    <t>1N-Slurry-R</t>
  </si>
  <si>
    <t>1.5N-Slurry-R</t>
  </si>
  <si>
    <t>Spring Barley</t>
  </si>
  <si>
    <t>Wheat, grain</t>
  </si>
  <si>
    <t>Winter Wheat, grain</t>
  </si>
  <si>
    <t>Sugar beet, root</t>
  </si>
  <si>
    <t>Li et al. (2007)</t>
  </si>
  <si>
    <t>Increased nitrogen use efficiencies as a key mitigation alternative to reduce nitrate leaching in north china plain</t>
  </si>
  <si>
    <t>N200 (below average)</t>
  </si>
  <si>
    <t>Winter Wheat, grain; Maize, grain</t>
  </si>
  <si>
    <t>Ceramic suction cups; water balance (neutron probes, weighing lysimeters)</t>
  </si>
  <si>
    <t>N400 (average)</t>
  </si>
  <si>
    <t>N800 (very high)</t>
  </si>
  <si>
    <t>Suction cups; capacitance probes</t>
  </si>
  <si>
    <t>Arregui and Quemada (2006)</t>
  </si>
  <si>
    <t>0N (Control)</t>
  </si>
  <si>
    <t>SP (two applications)</t>
  </si>
  <si>
    <t>NIT (single application, nitrification inhibitor)</t>
  </si>
  <si>
    <t>Sharifi Mood (2015)</t>
  </si>
  <si>
    <t>Micro-lysimeter / LEACHN</t>
  </si>
  <si>
    <t>SSD0 (no sidedress application)</t>
  </si>
  <si>
    <t>SSD30 (30 kg N ha-1 sidedress application)</t>
  </si>
  <si>
    <t>Sun et al. (2008)</t>
  </si>
  <si>
    <t>Nitrogen leaching in an upland cropping system on an acid soil in subtropical China: lysimeter measurements and simulation</t>
  </si>
  <si>
    <t>NPK0</t>
  </si>
  <si>
    <t>Lysimeters (concrete tanks and weighing lysimeters)</t>
  </si>
  <si>
    <t>NPK1</t>
  </si>
  <si>
    <t>NPK2</t>
  </si>
  <si>
    <t>NPK3</t>
  </si>
  <si>
    <t>Gallejones et al. (2012)</t>
  </si>
  <si>
    <t>0N</t>
  </si>
  <si>
    <t>Ceramic suction cups; water balance</t>
  </si>
  <si>
    <t>180N</t>
  </si>
  <si>
    <t>220N</t>
  </si>
  <si>
    <t>Impact of pig slurry on soil properties, water salinization, nitrate leaching and crop yield in a four?year experiment in Central Spain</t>
  </si>
  <si>
    <t>Ceramic suction cups; time domain reflectometry probes (in 4/12 plots)</t>
  </si>
  <si>
    <t>Sogbedji et al. (2000)</t>
  </si>
  <si>
    <t>Nitrate leaching and nitrogen budget as affected by maize nitrogen rate and soil type</t>
  </si>
  <si>
    <t>22N, starter only, clay loam</t>
  </si>
  <si>
    <t>Lysimeters (PVC geomembranes to clay layer depth, with pipe drainage)</t>
  </si>
  <si>
    <t>100N, starter and side-dress (based on pre side-dress nitrate test), clay loam</t>
  </si>
  <si>
    <t>134N, starter and side-dress, clay loam</t>
  </si>
  <si>
    <t>22N, starter only, loamy sand</t>
  </si>
  <si>
    <t>100N, starter and side-dress (based on pre side-dress nitrate test), loamy sand</t>
  </si>
  <si>
    <t>134N, starter and side-dress, loamy sand</t>
  </si>
  <si>
    <t>Leaching and crop uptake of nitrogen from nitrogen-15-labeled green manures and ammonium nitrate</t>
  </si>
  <si>
    <t>Control (0N)</t>
  </si>
  <si>
    <t>Lysimeters (soil monoliths; installed below ground)</t>
  </si>
  <si>
    <t>Ammonium Nitrate</t>
  </si>
  <si>
    <t>Ryegrass</t>
  </si>
  <si>
    <t>Red clover</t>
  </si>
  <si>
    <t>Noulas et al. (2014)</t>
  </si>
  <si>
    <t>Nitrogen Leaching Of Spring Wheat Genotypes (Triticum Aestivum L.) Varying In Nitrogen-Related Traits</t>
  </si>
  <si>
    <t>20N</t>
  </si>
  <si>
    <t>Spring Wheat, grain</t>
  </si>
  <si>
    <t>Lysimeters (fiberglass drainage lysimeters; above ground; additonal containers at edges to reduce border effects)</t>
  </si>
  <si>
    <t>270N</t>
  </si>
  <si>
    <t>Zhang et al. (2015a)</t>
  </si>
  <si>
    <t>CK (0N)</t>
  </si>
  <si>
    <t>Flooded</t>
  </si>
  <si>
    <t>NBTF80 (80N, Nursery Box Total Fertilization, controlled release)</t>
  </si>
  <si>
    <t>NBTF120 (120N, Nursery Box Total Fertilization, controlled release)</t>
  </si>
  <si>
    <t>CU (300N, urea, typical farmers practice)</t>
  </si>
  <si>
    <t>Zhang et al. (2015b)</t>
  </si>
  <si>
    <t>Using Side-dressing Technique to Reduce Nitrogen Leaching and Improve Nitrogen Recovery Efficiency under an Irrigated Rice System in the Upper Reaches of Yellow River Basin, Northwest China</t>
  </si>
  <si>
    <t>CU (300N, urea)</t>
  </si>
  <si>
    <t>SD1 (176N, side dressing, controlled release)</t>
  </si>
  <si>
    <t>SD2 (125N, side dressing, controlled release)</t>
  </si>
  <si>
    <t>Meng et al. (2014)</t>
  </si>
  <si>
    <t>Inorganic nitrogen leaching from organic and conventional rice production on a newly claimed calciustoll in central Asia</t>
  </si>
  <si>
    <t>PVC standpipes</t>
  </si>
  <si>
    <t>B1A1 (low level animal manure)</t>
  </si>
  <si>
    <t>B2A1 (mid-level animal manure)</t>
  </si>
  <si>
    <t>B3A1 (high-level animal manure)</t>
  </si>
  <si>
    <t>Bijay-Singh et al. (1991)</t>
  </si>
  <si>
    <t>Leaching losses of urea-N applied to permeable soils under lowland rice</t>
  </si>
  <si>
    <t>0N (control)</t>
  </si>
  <si>
    <t>120N (urea, 3 doses)</t>
  </si>
  <si>
    <t>120N (AS, 3 doses)</t>
  </si>
  <si>
    <t>120N (KN (not typical practice on flooded rice), 3 doses)</t>
  </si>
  <si>
    <t>120N (Urea, 1 dose at planting)</t>
  </si>
  <si>
    <t>Moreno et al. (1999)</t>
  </si>
  <si>
    <t>Water balance and nitrate leaching in an irrigated maize crop in SW Spain</t>
  </si>
  <si>
    <t>B: 170N (1/3 farmers practice)</t>
  </si>
  <si>
    <t>Ceramic cups; neutron probe; mercury tensiometers</t>
  </si>
  <si>
    <t>A: 510N (farmers practice)</t>
  </si>
  <si>
    <t>Jaynes et al. (2001)</t>
  </si>
  <si>
    <t>L: 67N</t>
  </si>
  <si>
    <t>Tile drainage</t>
  </si>
  <si>
    <t>M: 135N</t>
  </si>
  <si>
    <t>H: 202N (farmers practice)</t>
  </si>
  <si>
    <t>L: 57N</t>
  </si>
  <si>
    <t>M: 114N</t>
  </si>
  <si>
    <t>H: 172N (farmers practice)</t>
  </si>
  <si>
    <t>Zvomuya et al. (2003)</t>
  </si>
  <si>
    <t>Nitrate leaching and nitrogen recovery following application of polyolefin-coated urea to potato</t>
  </si>
  <si>
    <t>Suction lysimeters (ceramic cups)</t>
  </si>
  <si>
    <t>140N (urea)</t>
  </si>
  <si>
    <t>140N (PCU, slow release)</t>
  </si>
  <si>
    <t>280N (urea)</t>
  </si>
  <si>
    <t>280N (PCU, slow release)</t>
  </si>
  <si>
    <t>280N (urea, post-hilling)</t>
  </si>
  <si>
    <t>0N (control, excessive irrigation)</t>
  </si>
  <si>
    <t>140N (urea, excessive irrigation)</t>
  </si>
  <si>
    <t>140N (PCU, slow release, excessive irrigation)</t>
  </si>
  <si>
    <t>280N (urea, excessive irrigation)</t>
  </si>
  <si>
    <t>280N (PCU, slow release, excessive irrigation)</t>
  </si>
  <si>
    <t>280N (urea, post-hilling, excessive irrigation)</t>
  </si>
  <si>
    <t>Errebhi et al. (1998)</t>
  </si>
  <si>
    <t>Potato yield response and nitrate leaching as influenced by nitrogen management</t>
  </si>
  <si>
    <t>270N (0 + 135 + 135)</t>
  </si>
  <si>
    <t>270N (45 + 112 + 112)</t>
  </si>
  <si>
    <t>270N (90 + 90 + 90)</t>
  </si>
  <si>
    <t>270N (135 + 67 + 67)</t>
  </si>
  <si>
    <t>Arriaga et al. (2009)</t>
  </si>
  <si>
    <t>Surfactant impact on nitrogen utilization and leaching in potatoes</t>
  </si>
  <si>
    <t>34N, 0L surfactant</t>
  </si>
  <si>
    <t>Suction cups</t>
  </si>
  <si>
    <t>168N, 0L surfactant</t>
  </si>
  <si>
    <t>303N, 0L surfactant</t>
  </si>
  <si>
    <t>34N, 9.35L surfactant</t>
  </si>
  <si>
    <t>168N, 9.35L surfactant</t>
  </si>
  <si>
    <t>303N, 9.35L surfactant</t>
  </si>
  <si>
    <t>Cabrera et al. (1992)</t>
  </si>
  <si>
    <t>Losses of nitrate from a sandy loam soil under corn: lysimeter experiment</t>
  </si>
  <si>
    <t>L0 (0N)</t>
  </si>
  <si>
    <t>L1 (800N)</t>
  </si>
  <si>
    <t>Cabrera et al. (1995)</t>
  </si>
  <si>
    <t>Leaching of nitrate from a sandy loam soil under corn and two N-fertilizations</t>
  </si>
  <si>
    <t>L2 (~170N)</t>
  </si>
  <si>
    <t>L1 (~500N)</t>
  </si>
  <si>
    <t>Zhao et al. (2012)</t>
  </si>
  <si>
    <t>Tomato; Cucumber</t>
  </si>
  <si>
    <t>PVC plates</t>
  </si>
  <si>
    <t>CF (conventional fertilization)</t>
  </si>
  <si>
    <t>Min et al. (2012a)</t>
  </si>
  <si>
    <t>Optimizing nitrogen input to reduce nitrate leaching loss in greenhouse vegetable production</t>
  </si>
  <si>
    <t>N234</t>
  </si>
  <si>
    <t>Tomato; Cucumber, Celery</t>
  </si>
  <si>
    <t>Lysimeters</t>
  </si>
  <si>
    <t>N582</t>
  </si>
  <si>
    <t>N756</t>
  </si>
  <si>
    <t>N930</t>
  </si>
  <si>
    <t>N1104</t>
  </si>
  <si>
    <t>Delin and Stenberg (2014)</t>
  </si>
  <si>
    <t>Effect of nitrogen fertilization on nitrate leaching in relation to grain yield response on loamy sand in Sweden</t>
  </si>
  <si>
    <t>A (0N)</t>
  </si>
  <si>
    <t>Ceramic suction cups; indirect discharge measurment</t>
  </si>
  <si>
    <t>B (45N), 50% optimum</t>
  </si>
  <si>
    <t>C (70N), 75% optimum</t>
  </si>
  <si>
    <t>D (90N), optimum</t>
  </si>
  <si>
    <t>E (110N), 125% optimum</t>
  </si>
  <si>
    <t>F (135N), 150% optimum</t>
  </si>
  <si>
    <t>G optimum, adjusted</t>
  </si>
  <si>
    <t>Reducing nitrate leaching after winter oilseed rape and peas in mild and cold winters</t>
  </si>
  <si>
    <t>Sieling et al. (2006)</t>
  </si>
  <si>
    <t>No slurry</t>
  </si>
  <si>
    <t>Ceramic suction cups; evapotransipration model</t>
  </si>
  <si>
    <t>Autumn slurry</t>
  </si>
  <si>
    <t>Autumn + spring slurry</t>
  </si>
  <si>
    <t>0/0/0 mineral N</t>
  </si>
  <si>
    <t>40/40/40 mineral N</t>
  </si>
  <si>
    <t>80/80/80 mineral N</t>
  </si>
  <si>
    <t>Liang et al. (2011)</t>
  </si>
  <si>
    <t>Influence of N fertilization rates, rainfall, and temperature on nitrate leaching from a rainfed winter wheat field in Taihu watershed</t>
  </si>
  <si>
    <t>N0</t>
  </si>
  <si>
    <t>Fiberglass wick lysimeters</t>
  </si>
  <si>
    <t>N90</t>
  </si>
  <si>
    <t>M180</t>
  </si>
  <si>
    <t>M270</t>
  </si>
  <si>
    <t>N360</t>
  </si>
  <si>
    <t>Kettering et al. (2013)</t>
  </si>
  <si>
    <t>N50</t>
  </si>
  <si>
    <t>Suction lysimeters; soil hydrological model</t>
  </si>
  <si>
    <t>N150</t>
  </si>
  <si>
    <t>N250</t>
  </si>
  <si>
    <t>N350</t>
  </si>
  <si>
    <t>Tripolskaja and Verybliene (2014)</t>
  </si>
  <si>
    <t>Amkha et al. (2009)</t>
  </si>
  <si>
    <t>Pots</t>
  </si>
  <si>
    <t>CM-CDU-4 (300N, controlled mineralizing acetaldehyde condensation urea)</t>
  </si>
  <si>
    <t>CM-CDU-10 (300N, controlled mineralizing acetaldehyde condensation urea)</t>
  </si>
  <si>
    <t>Urea (300N)</t>
  </si>
  <si>
    <t>Mapanda et al. (2012)</t>
  </si>
  <si>
    <t>Nitrogen leaching and indirect nitrous oxide emissions from fertilized croplands in Zimbabwe</t>
  </si>
  <si>
    <t>0N (UZ-Farm)</t>
  </si>
  <si>
    <t>60N (UZ-Farm)</t>
  </si>
  <si>
    <t>120N (UZ-Farm)</t>
  </si>
  <si>
    <t>0N (DT-Centre)</t>
  </si>
  <si>
    <t>60N (DT-Centre)</t>
  </si>
  <si>
    <t>120N (DT-Centre)</t>
  </si>
  <si>
    <t>Morgan et al. (1942)</t>
  </si>
  <si>
    <t>Drainage water losses from a sandy soil as affected by cropping and cover crops</t>
  </si>
  <si>
    <t>No nitrogen - no cover crop (213-214)</t>
  </si>
  <si>
    <t>N calurea - no cover crop (217-218)</t>
  </si>
  <si>
    <t>N-1 - no cover crop (221-222)</t>
  </si>
  <si>
    <t>Split fraction of N - no cover crop (229-230)</t>
  </si>
  <si>
    <t>N calurea - oats cover crop (219-220)</t>
  </si>
  <si>
    <t>N-1 - oats cover crop (223-224)</t>
  </si>
  <si>
    <t>N-1 - rye cover crop (225-226)</t>
  </si>
  <si>
    <t>N-1 - timothy cover crop (227-228)</t>
  </si>
  <si>
    <t>Aparicio et al. (2015)</t>
  </si>
  <si>
    <t>Comparing Nitrate-N Losses through Leaching by Field Measurements and Nitrogen Balance Estimations</t>
  </si>
  <si>
    <t>Ceramic suction cups; LEACH-W drainage model</t>
  </si>
  <si>
    <t>200N</t>
  </si>
  <si>
    <t>Huang et al. (2011)</t>
  </si>
  <si>
    <t>Leaching losses of nitrate nitrogen and dissolved organic nitrogen from a yearly two crops system, wheat-maize, under monsoon situations</t>
  </si>
  <si>
    <t>Winter Wheat, grain; Summer Maize, grain</t>
  </si>
  <si>
    <t>180N "EONR rate"</t>
  </si>
  <si>
    <t>260N "conventional rate"</t>
  </si>
  <si>
    <t>360N "farmers practice"</t>
  </si>
  <si>
    <t>Qiao et al. (2013)</t>
  </si>
  <si>
    <t>N0 (0N)</t>
  </si>
  <si>
    <t>PVC columns</t>
  </si>
  <si>
    <t>N1 (135N)</t>
  </si>
  <si>
    <t>N2 (189N)</t>
  </si>
  <si>
    <t>N3 (216N)</t>
  </si>
  <si>
    <t>N4 (243N)</t>
  </si>
  <si>
    <t>N5 (270N)</t>
  </si>
  <si>
    <t>N6 (405N)</t>
  </si>
  <si>
    <t>Tan et al. (2013)</t>
  </si>
  <si>
    <t>Effects of alternate wetting and drying irrigation on percolation and nitrogen leaching in paddy fields</t>
  </si>
  <si>
    <t>LN 0N</t>
  </si>
  <si>
    <t>Suction cups; lysimeters</t>
  </si>
  <si>
    <t>MN 135N</t>
  </si>
  <si>
    <t>HN 180N</t>
  </si>
  <si>
    <t>Asadi et al. (2002)</t>
  </si>
  <si>
    <t>Ceramic suction cups; measured daily percolation</t>
  </si>
  <si>
    <t>150N</t>
  </si>
  <si>
    <t>Bortolotto et al. (2013)</t>
  </si>
  <si>
    <t>Nitrate leaching through climatologic water balance in a fertigated coffee plantation</t>
  </si>
  <si>
    <t>T400 half farmers dose (400N)</t>
  </si>
  <si>
    <t>Ceramic suction cups; water balance model</t>
  </si>
  <si>
    <t>T800 farmers dose (800N)</t>
  </si>
  <si>
    <t>Gheysari et al. (2009a)</t>
  </si>
  <si>
    <t>N0 W1</t>
  </si>
  <si>
    <t>N0 W2</t>
  </si>
  <si>
    <t>N0 W3</t>
  </si>
  <si>
    <t>N0 W4</t>
  </si>
  <si>
    <t>N150 W1</t>
  </si>
  <si>
    <t>N150 W2</t>
  </si>
  <si>
    <t>N150 W3</t>
  </si>
  <si>
    <t>N150 W4</t>
  </si>
  <si>
    <t>N200 W1</t>
  </si>
  <si>
    <t>N200 W2</t>
  </si>
  <si>
    <t>N200 W3</t>
  </si>
  <si>
    <t>N200 W4</t>
  </si>
  <si>
    <t>Armour et al. (2013)</t>
  </si>
  <si>
    <t>Nitrogen leaching from the root zone of sugarcane and bananas in the humid tropics of Australia</t>
  </si>
  <si>
    <t>Suction lysimeters</t>
  </si>
  <si>
    <t>N400</t>
  </si>
  <si>
    <t>N600</t>
  </si>
  <si>
    <t>Effects of liquid hog manure on soil available nitrogen status, nitrogen leaching losses and wheat yield on a sandy loam soil of western Canada</t>
  </si>
  <si>
    <t>Spring Wheat</t>
  </si>
  <si>
    <t>Undisturbed soil core lysimeters</t>
  </si>
  <si>
    <t>LHM64 (64N liquid hog manure)</t>
  </si>
  <si>
    <t>LHM128 (128N liquid hog manure)</t>
  </si>
  <si>
    <t>LHM192 (192N liquid hog manure)</t>
  </si>
  <si>
    <t>Lawlor et al. (2008)</t>
  </si>
  <si>
    <t>Nitrogen application rate effect on nitrate-nitrogen concentration and loss in subsurface drainage for a corn-soybean rotation</t>
  </si>
  <si>
    <t>0N (corn-soybean rotation)</t>
  </si>
  <si>
    <t>Subsurface drainage system</t>
  </si>
  <si>
    <t>56N (corn-soybean rotation)</t>
  </si>
  <si>
    <t>112N (corn-soybean rotation)</t>
  </si>
  <si>
    <t>168N (corn-soybean rotation)</t>
  </si>
  <si>
    <t>Min et al. (2011a)</t>
  </si>
  <si>
    <t>Effects of a catch crop and reduced nitrogen fertilization on nitrogen leaching in greenhouse vegetable production systems</t>
  </si>
  <si>
    <t>N0, NCC (no catch crop)</t>
  </si>
  <si>
    <t>Tomato, Cucumber, Celery</t>
  </si>
  <si>
    <t>N348, NCC (40% farmers rate, no catch crop)</t>
  </si>
  <si>
    <t>N522, NCC (60% farmers rate, no catch crop)</t>
  </si>
  <si>
    <t>N696, NCC (80% farmers rate, no catch crop)</t>
  </si>
  <si>
    <t>N870, NCC (farmers rate, no catch crop)</t>
  </si>
  <si>
    <t>N0, CC (catch crop)</t>
  </si>
  <si>
    <t>Tomato, Sweet Corn, Cucumber, Celery</t>
  </si>
  <si>
    <t>N348, CC (40% farmers rate, catch crop)</t>
  </si>
  <si>
    <t>N522, CC (60% farmers rate, catch crop)</t>
  </si>
  <si>
    <t>N696, CC (80% farmers rate, catch crop)</t>
  </si>
  <si>
    <t>N870, CC (farmers rate, catch crop)</t>
  </si>
  <si>
    <t>Min et al. (2011b)</t>
  </si>
  <si>
    <t>Nitrogen balance and loss in a greenhouse vegetable system in southeastern China</t>
  </si>
  <si>
    <t>N348</t>
  </si>
  <si>
    <t>N522</t>
  </si>
  <si>
    <t>N696</t>
  </si>
  <si>
    <t>N870</t>
  </si>
  <si>
    <t>Catt et al. (1998)</t>
  </si>
  <si>
    <t>Straw incorporation ("Incorporated, 6 and 19")</t>
  </si>
  <si>
    <t>Mole drainage</t>
  </si>
  <si>
    <t>Straw burnt ("Burnt, 10 and 20")</t>
  </si>
  <si>
    <t>Hurtado et al. (2011)</t>
  </si>
  <si>
    <t>Nitrate loss from a tile-drained reclaimed marsh soil from SW Spain amended with different products</t>
  </si>
  <si>
    <t>Control (no amendements)</t>
  </si>
  <si>
    <t>Cotton, raw fibre (seed cotton); Sugar beet, root</t>
  </si>
  <si>
    <t>Manure</t>
  </si>
  <si>
    <t>Sugar factory refuse lime</t>
  </si>
  <si>
    <t>Ceccon et al. (1995)</t>
  </si>
  <si>
    <t>Nitrogen in drainage water as influenced by soil depth and nitrogen fertilization: a study in lysimeters</t>
  </si>
  <si>
    <t>Nil (0N)</t>
  </si>
  <si>
    <t>Intermediate (125N)</t>
  </si>
  <si>
    <t>High (250N)</t>
  </si>
  <si>
    <t>Carneiro et al. (2012)</t>
  </si>
  <si>
    <t>Ceramic suction cups</t>
  </si>
  <si>
    <t>CSs (cattle slurry, split application)</t>
  </si>
  <si>
    <t>CS + I (cattle slurry + nitrification inhibitor)</t>
  </si>
  <si>
    <t>SSs (sewage sludge, split application)</t>
  </si>
  <si>
    <t>SSm (sewage sludge, single application at beginning of maize crop)</t>
  </si>
  <si>
    <t>UWCs (urban waste compost, split application)</t>
  </si>
  <si>
    <t>UWCm (urban waste compost, single application at beginning of maize crop)</t>
  </si>
  <si>
    <t>Adhikari and Chen (2013)</t>
  </si>
  <si>
    <t>Reducing Nitrogen Leaching from Agriculture: An Essential Step toward Protecting the Environment in High Rainfall Areas of Taiwan</t>
  </si>
  <si>
    <t>Ctrl (0N)</t>
  </si>
  <si>
    <t>Cabbage; Maize, grain</t>
  </si>
  <si>
    <t>Wagner pots</t>
  </si>
  <si>
    <t>U250 (100% N from urea)</t>
  </si>
  <si>
    <t>C250 (100% N from swine manure compost)</t>
  </si>
  <si>
    <t>C250U250 (50% N from swine manure compost, 50% N from urea)</t>
  </si>
  <si>
    <t>Arbat et al. (2013)</t>
  </si>
  <si>
    <t>Soil water and nitrate distribution under drip irrigated corn receiving pig slurry</t>
  </si>
  <si>
    <t>T1 (120N + 0N)</t>
  </si>
  <si>
    <t>Suction cups; HYDRUS water model</t>
  </si>
  <si>
    <t>T4 (120N + 75N)</t>
  </si>
  <si>
    <t>T9 (120N + 300N)</t>
  </si>
  <si>
    <t>Jaynes and Colvin (2006)</t>
  </si>
  <si>
    <t>H (199N applied post-emergence, farmers practice N rate)</t>
  </si>
  <si>
    <t>M (138N applied post-emergence, economic optimum N rate)</t>
  </si>
  <si>
    <t>L (69N applied post-emergence)</t>
  </si>
  <si>
    <t>R (69N applied post-emergence, 69N applied midseason)</t>
  </si>
  <si>
    <t>Drury et al. (2009)</t>
  </si>
  <si>
    <t>Managing tile drainage, subirrigation, and nitrogen fertilization to enhance crop yields and reduce nitrate loss</t>
  </si>
  <si>
    <t>N1 UTD (150N, unrestricted tile drainage)</t>
  </si>
  <si>
    <t>N1 CD (150N, controlled tile drainage)</t>
  </si>
  <si>
    <t>N1 CDS (150N, controlled tile drainage with subsurface irrigation)</t>
  </si>
  <si>
    <t>N2 UTD (200N, unrestricted tile drainage)</t>
  </si>
  <si>
    <t>N2 CD (200N, controlled tile drainage)</t>
  </si>
  <si>
    <t>N2 CDS (200N, controlled tile drainage with subsurface irrigation)</t>
  </si>
  <si>
    <t>Zhang et al. (2011)</t>
  </si>
  <si>
    <t>Emissions of N2O and NH3, and nitrogen leaching from direct seeded rice under different tillage practices in central China</t>
  </si>
  <si>
    <t>Ceramic porous cups; water balance model</t>
  </si>
  <si>
    <t>Hansen and Eriksen (2016)</t>
  </si>
  <si>
    <t>Nitrate leaching in maize after cultivation of differently managed grass-clover leys on coarse sand in Denmark</t>
  </si>
  <si>
    <t>Unfertilized</t>
  </si>
  <si>
    <t>Porous ceramic cups; water balance model (EVACROP 3.0)</t>
  </si>
  <si>
    <t>Unfertilized with catch crop</t>
  </si>
  <si>
    <t>Maize, grain; Ryegrass, forage</t>
  </si>
  <si>
    <t>Fertilized</t>
  </si>
  <si>
    <t>Fertilized with catch crop</t>
  </si>
  <si>
    <t>Jaakkola (1984)</t>
  </si>
  <si>
    <t>Leaching losses of nitrogen from a clay soil under grass and cereal crops in Finland</t>
  </si>
  <si>
    <t>100N, applied in September</t>
  </si>
  <si>
    <t>100N, applied in late November</t>
  </si>
  <si>
    <t>100N, applied in early May</t>
  </si>
  <si>
    <t>Goss et al. (1998)</t>
  </si>
  <si>
    <t>Nitrate leaching: modifying the loss from mineralized organic matter</t>
  </si>
  <si>
    <t>Control (100N)</t>
  </si>
  <si>
    <t>Harvest residues incorporated (100N + residue)</t>
  </si>
  <si>
    <t>Islam et al. (2011)</t>
  </si>
  <si>
    <t>Standard (300N) + super-absorbent polymer</t>
  </si>
  <si>
    <t>Medium (225N) + super-absorbent polymer</t>
  </si>
  <si>
    <t>Low (150N) + super-absorbent polymer</t>
  </si>
  <si>
    <t>Aghaalikhani et al. (2012)</t>
  </si>
  <si>
    <t>Zeolite influences on nitrate leaching, nitrogen-use efficiency, yield and yield components of canola in sandy soil</t>
  </si>
  <si>
    <t>N0Z0 (0N)</t>
  </si>
  <si>
    <t>Ceramic cups; water balance model</t>
  </si>
  <si>
    <t>N90Z0 90N, 0t/ha zeolite</t>
  </si>
  <si>
    <t>N180Z0 180N, 0t/ha zeolite</t>
  </si>
  <si>
    <t>N270Z0 270N, 0t/ha zeolite</t>
  </si>
  <si>
    <t>Maharjan et al. (2014)</t>
  </si>
  <si>
    <t>Suction cup lysimeters; water balance</t>
  </si>
  <si>
    <t>PCU (polymer-coated urea)</t>
  </si>
  <si>
    <t>IU (urease and nitrification inhibitor)</t>
  </si>
  <si>
    <t>Wilson et al. (2010)</t>
  </si>
  <si>
    <t>Effects of polymer-coated urea on nitrate leaching and nitrogen uptake by potato</t>
  </si>
  <si>
    <t>1 0N (control)</t>
  </si>
  <si>
    <t>Suction cups; water balance</t>
  </si>
  <si>
    <t>2 90N (DAP + soluble N)</t>
  </si>
  <si>
    <t>3 180N (DAP + soluble N)</t>
  </si>
  <si>
    <t>4 270N (DAP + soluble N)</t>
  </si>
  <si>
    <t>5 360N (DAP + soluble N)</t>
  </si>
  <si>
    <t>6 270N  (DAP + UAN simuation)</t>
  </si>
  <si>
    <t>7 90N (DAP + polymer coated urea)</t>
  </si>
  <si>
    <t>8 180N (DAP + polymer coated urea)</t>
  </si>
  <si>
    <t>9 270N (DAP + polymer coated urea)</t>
  </si>
  <si>
    <t>10 360N (DAP + polymer coated urea)</t>
  </si>
  <si>
    <t>11 270N (pre-plant polymer coated urea)</t>
  </si>
  <si>
    <t>Nitrogen flows and balances as affected by water and nutrient management in a sorghum cropping system of semiarid Burkina Faso</t>
  </si>
  <si>
    <t>TSR: stone rows, no N input</t>
  </si>
  <si>
    <t>Sorghum, grain</t>
  </si>
  <si>
    <t>Ceramic tubes; soil water model (SARRABIL)</t>
  </si>
  <si>
    <t>TSRC: stone rows + compost-N</t>
  </si>
  <si>
    <t>TSRU: stone rows + urea-N</t>
  </si>
  <si>
    <t>TGS: grass strips, no N input</t>
  </si>
  <si>
    <t>TGSC: grass strips + compost-N</t>
  </si>
  <si>
    <t>TGSU: grass strips + urea-N</t>
  </si>
  <si>
    <t>TSRM: stone rows + manure</t>
  </si>
  <si>
    <t>TGSM: grass strips + manure</t>
  </si>
  <si>
    <t>T0: no SWC measures, no N input</t>
  </si>
  <si>
    <t>TU: urea-N, no SWC measure</t>
  </si>
  <si>
    <t>TC: compost-N, no SWC measure</t>
  </si>
  <si>
    <t>Masaka et al. (2013)</t>
  </si>
  <si>
    <t>T1a: 0 Mg manure (Experiment 1)</t>
  </si>
  <si>
    <t>Zero-tension lysimeters</t>
  </si>
  <si>
    <t>T2a: 15 Mg manure 1.36%N (Experiment 1)</t>
  </si>
  <si>
    <t>T3a: 30 Mg manure 1.36%N (Experiment 1)</t>
  </si>
  <si>
    <t>T1b: 0 Mg manure (Experiment 2)</t>
  </si>
  <si>
    <t>T2b: 15 Mg manure 0.51%N (Experiment 2)</t>
  </si>
  <si>
    <t>T3b: 30 Mg manure 0.51%N (Experiment 2)</t>
  </si>
  <si>
    <t>Gast et al. (1978)</t>
  </si>
  <si>
    <t>Nitrate Accumulation in Soils and Loss in Tile Drainage Following Nitrogen Applications to Continuous Corn 1</t>
  </si>
  <si>
    <t>20N, residue returned</t>
  </si>
  <si>
    <t>112N (recommended), residue returned</t>
  </si>
  <si>
    <t>224N, residue returned</t>
  </si>
  <si>
    <t>448N, residue returned</t>
  </si>
  <si>
    <t>Helmers et al. (2012)</t>
  </si>
  <si>
    <t>Nitrogen loss on tile-drained Mollisols as affected by nitrogen application rate under continuous corn and corn-soybean rotation systems</t>
  </si>
  <si>
    <t>0N (continuous corn)</t>
  </si>
  <si>
    <t>56N (continuous corn)</t>
  </si>
  <si>
    <t>112N (continuous corn)</t>
  </si>
  <si>
    <t>168N (continuous corn)</t>
  </si>
  <si>
    <t>224N (continuous corn)</t>
  </si>
  <si>
    <t>Ju et al. (2009)</t>
  </si>
  <si>
    <t>Reducing environmental risk by improving N management in intensive Chinese agricultural systems</t>
  </si>
  <si>
    <t>300N (traditional rate)</t>
  </si>
  <si>
    <t>250N</t>
  </si>
  <si>
    <t>Andraski et al. (2000)</t>
  </si>
  <si>
    <t>Crop management and corn nitrogen rate effects on nitrate leaching</t>
  </si>
  <si>
    <t>0N, CCC (continuous corn, without history of manure application), Trial 2</t>
  </si>
  <si>
    <t>Ceramic suction cups; soil water balance</t>
  </si>
  <si>
    <t>204N, CCC (continuous corn, without history of manure application), Trial 2</t>
  </si>
  <si>
    <t>0N, m-CCC (continuous corn, with history of manure application), Trial 2</t>
  </si>
  <si>
    <t>204N, m-CCC (continuous corn, with history of manure application), Trial 2</t>
  </si>
  <si>
    <t>0N, ACC (second year corn, following 3 year alfalfa, no manure for last 5y), Trial 2</t>
  </si>
  <si>
    <t>204N, ACC (second year corn, following 3 year alfalfa, no manure for last 5y), Trial 2</t>
  </si>
  <si>
    <t>0N, AmCC (second year  corn following 3-yr alfalfa with manure applied to first-year corn), Trial 2</t>
  </si>
  <si>
    <t>204N, AmCC (second year  corn following 3-yr alfalfa with manure applied to first-year corn), Trial 2</t>
  </si>
  <si>
    <t>Tan et al. (2002)</t>
  </si>
  <si>
    <t>Water and nitrate loss through tiles under a clay loam soil in Ontario after 42 years of consistent fertilization and crop rotation</t>
  </si>
  <si>
    <t>CC, not-fertilized (continuous corn)</t>
  </si>
  <si>
    <t>RC, not-fertilized (corn in rotation)</t>
  </si>
  <si>
    <t>RC, fertilized (corn in rotation)</t>
  </si>
  <si>
    <t>Herrera and Liedgens (2009)</t>
  </si>
  <si>
    <t>Leaching and utilization of nitrogen during a spring wheat catch crop succession</t>
  </si>
  <si>
    <t>4N</t>
  </si>
  <si>
    <t>Drainage lysimeters</t>
  </si>
  <si>
    <t>Spring Wheat, grain; Mustard, seed</t>
  </si>
  <si>
    <t>29N</t>
  </si>
  <si>
    <t>Sexton et al. (1996)</t>
  </si>
  <si>
    <t>Optimizing nitrogen and irrigation inputs for corn based on nitrate leaching and yield on a coarse-textured soil</t>
  </si>
  <si>
    <t>20-30N, fixed irrigation</t>
  </si>
  <si>
    <t>90-100N, fixed irrigation</t>
  </si>
  <si>
    <t>180N, fixed irrigation</t>
  </si>
  <si>
    <t>270-280N, fixed irrigation</t>
  </si>
  <si>
    <t>250-270M (turkey manure), fixed irrigation</t>
  </si>
  <si>
    <t>80-430M (turkey manure), fixed irrigation</t>
  </si>
  <si>
    <t>20-30N, variable irrigation</t>
  </si>
  <si>
    <t>90-100N, variable irrigation</t>
  </si>
  <si>
    <t>180N, variable irrigation</t>
  </si>
  <si>
    <t>270-280N, variable irrigation</t>
  </si>
  <si>
    <t>250-270M (turkey manure), variable irrigation</t>
  </si>
  <si>
    <t>80-430M (turkey manure), variable irrigation</t>
  </si>
  <si>
    <t>Ochsner et al. (2010)</t>
  </si>
  <si>
    <t>Water balance and nitrate leaching under corn in kura clover living mulch</t>
  </si>
  <si>
    <t>Living mulch + 90 kg N ha-1</t>
  </si>
  <si>
    <t>Living mulch + 0 N</t>
  </si>
  <si>
    <t>Marchetti et al. (2001)</t>
  </si>
  <si>
    <t>Simulating nitrate leaching under crops fertilized with pig slurry in lysimeters</t>
  </si>
  <si>
    <t>0N, Sand</t>
  </si>
  <si>
    <t>Sorghum, grain; Ryegrass, forage; Maize, grain; Winter Wheat, grain</t>
  </si>
  <si>
    <t>142N, Sand</t>
  </si>
  <si>
    <t>284N, Sand</t>
  </si>
  <si>
    <t>426N, Sand</t>
  </si>
  <si>
    <t>0N, Loam</t>
  </si>
  <si>
    <t>142N, Loam</t>
  </si>
  <si>
    <t>284N, Loam</t>
  </si>
  <si>
    <t>426N, Loam</t>
  </si>
  <si>
    <t>0N, Sandy Loam</t>
  </si>
  <si>
    <t>142N, Sandy Loam</t>
  </si>
  <si>
    <t>284N, Sandy Loam</t>
  </si>
  <si>
    <t>426N, Sandy Loam</t>
  </si>
  <si>
    <t>0N, Silty Clay</t>
  </si>
  <si>
    <t>142N, Silty Clay</t>
  </si>
  <si>
    <t>284N, Silty Clay</t>
  </si>
  <si>
    <t>426N, Silty Clay</t>
  </si>
  <si>
    <t>Svoboda et al. (2013)</t>
  </si>
  <si>
    <t>Nitrogen leaching losses after biogas residue application to maize</t>
  </si>
  <si>
    <t>0N - Hohenschulen</t>
  </si>
  <si>
    <t>Ceramic suction cups; soil water model calibrated with reflectometry probes</t>
  </si>
  <si>
    <t>120N - Hohenschulen - Mineral N (calcium ammonium nitrate)</t>
  </si>
  <si>
    <t>240N - Hohenschulen - Mineral N (calcium ammonium nitrate)</t>
  </si>
  <si>
    <t>360N - Hohenschulen - Mineral N (calcium ammonium nitrate)</t>
  </si>
  <si>
    <t>120N - Hohenschulen - Pig Slurry</t>
  </si>
  <si>
    <t>240N - Hohenschulen - Pig Slurry</t>
  </si>
  <si>
    <t>360N - Hohenschulen - Pig Slurry</t>
  </si>
  <si>
    <t>120N - Hohenschulen - Biogas Residue</t>
  </si>
  <si>
    <t>240N - Hohenschulen - Biogas Residue</t>
  </si>
  <si>
    <t>360N - Hohenschulen - Biogas Residue</t>
  </si>
  <si>
    <t>0N - Karkendamm</t>
  </si>
  <si>
    <t>120N - Karkendamm - Mineral N (calcium ammonium nitrate)</t>
  </si>
  <si>
    <t>240N - Karkendamm - Mineral N (calcium ammonium nitrate)</t>
  </si>
  <si>
    <t>360N - Karkendamm - Mineral N (calcium ammonium nitrate)</t>
  </si>
  <si>
    <t>120N - Karkendamm - Cattle Slurry</t>
  </si>
  <si>
    <t>240N - Karkendamm - Cattle Slurry</t>
  </si>
  <si>
    <t>360N - Karkendamm - Cattle Slurry</t>
  </si>
  <si>
    <t>360N - Karkendamm - Pig Slurry</t>
  </si>
  <si>
    <t>120N - Karkendamm - Biogas Residue</t>
  </si>
  <si>
    <t>240N - Karkendamm - Biogas Residue</t>
  </si>
  <si>
    <t>360N - Karkendamm - Biogas Residue</t>
  </si>
  <si>
    <t>Walters and Malzer (1990b)</t>
  </si>
  <si>
    <t>0N, 0NI (Control)</t>
  </si>
  <si>
    <t>Nonweighing lysimeters</t>
  </si>
  <si>
    <t>90N, NI, Incorporation</t>
  </si>
  <si>
    <t>90N, NI, No Incorporation</t>
  </si>
  <si>
    <t>90N, No NI, Incorporation</t>
  </si>
  <si>
    <t>90N, No NI, No Incorporation</t>
  </si>
  <si>
    <t>180N, NI, Incorporation</t>
  </si>
  <si>
    <t>180N, NI, No Incorporation</t>
  </si>
  <si>
    <t>180N, No NI, Incorporation</t>
  </si>
  <si>
    <t>180N, No NI, No Incorporation</t>
  </si>
  <si>
    <t>Torstensson and Aronsson (2000)</t>
  </si>
  <si>
    <t>Nitrogen leaching and crop availability in manured catch crop systems in Sweden</t>
  </si>
  <si>
    <t>1M (liquid manure at recommended rate, no catch crop)</t>
  </si>
  <si>
    <t>Pipe drained plots</t>
  </si>
  <si>
    <t>1Mcc (liquid manure at recommended rate, catch crop)</t>
  </si>
  <si>
    <t>2M (liquid manure at 2x recommended rate, no catch crop)</t>
  </si>
  <si>
    <t>2Mcc (liquid manure at 2x recommended rate, catch crop)</t>
  </si>
  <si>
    <t>Uhlen (1994)</t>
  </si>
  <si>
    <t>(a) 0N</t>
  </si>
  <si>
    <t>Lysimeters (concrete tanks)</t>
  </si>
  <si>
    <t xml:space="preserve">(b) 60/80N </t>
  </si>
  <si>
    <t>(c) 80/120N</t>
  </si>
  <si>
    <t>(d) 100/80+40N</t>
  </si>
  <si>
    <t>(e) 120/160N</t>
  </si>
  <si>
    <t>(f) 80+40/120+40N</t>
  </si>
  <si>
    <t>(g) 140/200N</t>
  </si>
  <si>
    <t>(h) 100+40/160+40N</t>
  </si>
  <si>
    <t>(i) 160/240N</t>
  </si>
  <si>
    <t>(j) 120+40/200+40N</t>
  </si>
  <si>
    <t>Waddell et al. (2000)</t>
  </si>
  <si>
    <t>70% AW; Control (0N)</t>
  </si>
  <si>
    <t>70% AW; Alternative (225N)</t>
  </si>
  <si>
    <t>70% AW; Conventional (225N)</t>
  </si>
  <si>
    <t>70% AW; Turkey Manure (217N)</t>
  </si>
  <si>
    <t>70% AW; Sulfur-coated urea (224N)</t>
  </si>
  <si>
    <t>Jaynes (2015)</t>
  </si>
  <si>
    <t>Corn yield and nitrate loss in subsurface drainage affected by timing of anhydrous ammonia application</t>
  </si>
  <si>
    <t>F (196N fall application)</t>
  </si>
  <si>
    <t>FH (679N, 196N fall application)</t>
  </si>
  <si>
    <t>Pig slurry application and irrigation effects on nitrate leaching in Mediterranean soil lysimeters</t>
  </si>
  <si>
    <t>PS2 (462N slurry, farmers rate)</t>
  </si>
  <si>
    <t>PS3 (924N slurry, excess fertilization)</t>
  </si>
  <si>
    <t>Response of maize yield, nitrate leaching, and soil nitrogen to pig slurry combined with mineral nitrogen</t>
  </si>
  <si>
    <t>P60</t>
  </si>
  <si>
    <t>P90</t>
  </si>
  <si>
    <t>Pig slurry residual effects on maize yields and nitrate leaching: A study in lysimeters</t>
  </si>
  <si>
    <t>N0 (control)</t>
  </si>
  <si>
    <t>N180</t>
  </si>
  <si>
    <t>N240</t>
  </si>
  <si>
    <t>N300</t>
  </si>
  <si>
    <t>Gholamhoseini et al. (2013)</t>
  </si>
  <si>
    <t>Zeolite-amended cattle manure effects on sunflower yield, seed quality, water use efficiency and nutrient leaching</t>
  </si>
  <si>
    <t>N0 (low irrigation)</t>
  </si>
  <si>
    <t>N150 (low irrigation)</t>
  </si>
  <si>
    <t>N300 (low irrigation)</t>
  </si>
  <si>
    <t>N450 (low irrigation)</t>
  </si>
  <si>
    <t>N0 (full irrigation)</t>
  </si>
  <si>
    <t>N150 (full irrigation)</t>
  </si>
  <si>
    <t>N300 (full irrigation)</t>
  </si>
  <si>
    <t>N450 (full irrigation)</t>
  </si>
  <si>
    <t>Long and Sun (2012)</t>
  </si>
  <si>
    <t>Nitrogen leaching under corn cultivation stabilized after four years application of pig manure to red soil in subtropical China</t>
  </si>
  <si>
    <t>N0 (no manure)</t>
  </si>
  <si>
    <t>Lysimeters (concrete) and weighing lysimeter</t>
  </si>
  <si>
    <t>N1 (low manure, 150N)</t>
  </si>
  <si>
    <t>N2 (high manure, 600N)</t>
  </si>
  <si>
    <t>N2L (high manure with lime, 600N)</t>
  </si>
  <si>
    <t>Sepaskhah and Tafteh (2012)</t>
  </si>
  <si>
    <t>Yield and nitrogen leaching in rapeseed field under different nitrogen rates and water saving irrigation</t>
  </si>
  <si>
    <t>0N OFI (ordinary furrow irrigation)</t>
  </si>
  <si>
    <t>Water balance lysimeters</t>
  </si>
  <si>
    <t>100N OFI (ordinary furrow irrigation)</t>
  </si>
  <si>
    <t>200N OFI (ordinary furrow irrigation)</t>
  </si>
  <si>
    <t>300N OFI (ordinary furrow irrigation)</t>
  </si>
  <si>
    <t>0N VAFI (variable alternate furrow irrigation)</t>
  </si>
  <si>
    <t>100N VAFI (variable alternate furrow irrigation)</t>
  </si>
  <si>
    <t>200N VAFI (variable alternate furrow irrigation)</t>
  </si>
  <si>
    <t>300N VAFI (variable alternate furrow irrigation)</t>
  </si>
  <si>
    <t>0N FAFI (fixed alternate furrow irrigation)</t>
  </si>
  <si>
    <t>100N FAFI (fixed alternate furrow irrigation)</t>
  </si>
  <si>
    <t>200N FAFI (fixed alternate furrow irrigation)</t>
  </si>
  <si>
    <t>300N FAFI (fixed alternate furrow irrigation)</t>
  </si>
  <si>
    <t>Kokkora (2008)</t>
  </si>
  <si>
    <t>Biowaste and vegetable waste compost application to agriculture</t>
  </si>
  <si>
    <t>Raised PVC tanks</t>
  </si>
  <si>
    <t>40N (mineral)</t>
  </si>
  <si>
    <t>80N (mineral)</t>
  </si>
  <si>
    <t>120N (mineral)</t>
  </si>
  <si>
    <t>100N (biowaste)</t>
  </si>
  <si>
    <t>250N (biowaste)</t>
  </si>
  <si>
    <t>400N (biowaste)</t>
  </si>
  <si>
    <t>600N (biowaste)</t>
  </si>
  <si>
    <t>100N (onion compost)</t>
  </si>
  <si>
    <t>250N (onion compost)</t>
  </si>
  <si>
    <t>400N (onion compost)</t>
  </si>
  <si>
    <t>600N (onion compost)</t>
  </si>
  <si>
    <t>Goulding et al. (2000)</t>
  </si>
  <si>
    <t>No N (Plot 5)</t>
  </si>
  <si>
    <t>Tile/pipe drains; ceramic suction cups; probe sampling</t>
  </si>
  <si>
    <t>48N (Plot 6)</t>
  </si>
  <si>
    <t>96N (Plot 7)</t>
  </si>
  <si>
    <t>144N (Plot 8)</t>
  </si>
  <si>
    <t>192N (Plot 9)</t>
  </si>
  <si>
    <t>240N (Plot 15)</t>
  </si>
  <si>
    <t>288N (Plot 16)</t>
  </si>
  <si>
    <t>FYM (Plot 22)</t>
  </si>
  <si>
    <t>FYM + 96N (Plot 21)</t>
  </si>
  <si>
    <t>T (unfertilized), conventional irrigaton</t>
  </si>
  <si>
    <t>Ceramic suction cups; tensiometers; neutron access tubes</t>
  </si>
  <si>
    <t>U (urea), conventional irrigaton</t>
  </si>
  <si>
    <t>F (floranid), conventional irrigaton</t>
  </si>
  <si>
    <t>C (MOW compost), conventional irrigaton</t>
  </si>
  <si>
    <t>T (unfertilized), efficient irrigaton</t>
  </si>
  <si>
    <t>U (urea), efficient irrigaton</t>
  </si>
  <si>
    <t>F (floranid), efficient irrigaton</t>
  </si>
  <si>
    <t>C (MOW compost), efficient irrigaton</t>
  </si>
  <si>
    <t>Leaching and crop uptake of nitrogen and phosphorus from pig slurry as affected by different application rates</t>
  </si>
  <si>
    <t>Lysimeters (PVC pipes, installed below ground)</t>
  </si>
  <si>
    <t>Slurry (50N)</t>
  </si>
  <si>
    <t>Slurry (100N)</t>
  </si>
  <si>
    <t>Slurry (150N)</t>
  </si>
  <si>
    <t>Slurry (200N)</t>
  </si>
  <si>
    <t>Díez et al. (2004)</t>
  </si>
  <si>
    <t>Bergström and Kirchmann (2004)</t>
  </si>
  <si>
    <t>Engström et al. (2011)</t>
  </si>
  <si>
    <t>Nikièma et al. (2013)</t>
  </si>
  <si>
    <t>Zougmoré et al. (2004)</t>
  </si>
  <si>
    <t>Daudén et al. (2004)</t>
  </si>
  <si>
    <t>Yagüe and Quílez (2010)</t>
  </si>
  <si>
    <t>Yagüe and Quílez (2015)</t>
  </si>
  <si>
    <t>Díez et al. (2000)</t>
  </si>
  <si>
    <t>Bergström and Kirchmann (2006)</t>
  </si>
  <si>
    <t>Bilan des éléments minéraux sous une rotation sorgho-cotonnier en lysimètres</t>
  </si>
  <si>
    <t>Nitrogen and sulphur fertilization effect on leaching losses, nutrient balance and plant quality in a wheat–rapeseed rotation under a humid Mediterranean climate</t>
  </si>
  <si>
    <t>Greenhouse tomato–cucumber yield and soil N leaching as affected by reducing N rate and adding manure: a case study in the Yellow River Irrigation Region China</t>
  </si>
  <si>
    <t>Impacts of fertigation via sprinkler irrigation on nitrate leaching and corn yield in an acid–sulphate soil in Thailand</t>
  </si>
  <si>
    <t>Strategies to decrease nitrate leaching in the Brimstone Farm Experiment, Oxfordshire, UK, 1988–1993: the effects of winter cover crops and unfertilised grass leys</t>
  </si>
  <si>
    <t>Nitrate leaching from a maize× oats double-cropping forage system fertilized with organic residues under Mediterranean conditions</t>
  </si>
  <si>
    <t>The leaching behaviour and balances of nitrogen and other elements under spring wheat in lysimeter experiment 1985–92</t>
  </si>
  <si>
    <t>1 ha</t>
  </si>
  <si>
    <t>Zimbabwe</t>
  </si>
  <si>
    <t>Cameroon</t>
  </si>
  <si>
    <t>India</t>
  </si>
  <si>
    <t>Denmark</t>
  </si>
  <si>
    <t>China</t>
  </si>
  <si>
    <t>Spain</t>
  </si>
  <si>
    <t>Canada</t>
  </si>
  <si>
    <t>United States</t>
  </si>
  <si>
    <t>Sweden</t>
  </si>
  <si>
    <t>Switzerland</t>
  </si>
  <si>
    <t>Germany</t>
  </si>
  <si>
    <t>South Korea</t>
  </si>
  <si>
    <t>Lithuania</t>
  </si>
  <si>
    <t>Japan</t>
  </si>
  <si>
    <t>Argentina</t>
  </si>
  <si>
    <t>Thailand</t>
  </si>
  <si>
    <t>Brazil</t>
  </si>
  <si>
    <t>Iran</t>
  </si>
  <si>
    <t>Australia</t>
  </si>
  <si>
    <t>United Kingdom</t>
  </si>
  <si>
    <t>Italy</t>
  </si>
  <si>
    <t>Portugal</t>
  </si>
  <si>
    <t>Finland</t>
  </si>
  <si>
    <t>Burkina Faso</t>
  </si>
  <si>
    <t>Norway</t>
  </si>
  <si>
    <t>Nursery-Box Total Fertilization Technology (NBTF) Application for Increasing Nitrogen Use Efficiency in Chinese Irrigated Riceland: N–Soil Interactions</t>
  </si>
  <si>
    <t>true</t>
  </si>
  <si>
    <t>false</t>
  </si>
  <si>
    <t>Sand content</t>
  </si>
  <si>
    <t>Silt content</t>
  </si>
  <si>
    <t>Clay content</t>
  </si>
  <si>
    <t>cropland</t>
  </si>
  <si>
    <t>measured</t>
  </si>
  <si>
    <t>cycle.description</t>
  </si>
  <si>
    <t>Jacques</t>
  </si>
  <si>
    <t>Gigou</t>
  </si>
  <si>
    <t>Sharma</t>
  </si>
  <si>
    <t>L'Agronomie Tropicale</t>
  </si>
  <si>
    <t>149-153</t>
  </si>
  <si>
    <t>Les bilans sur 4 années de culture alternée sorgho-cotonnier de chacun des éléments (N, P205, K20, Ca0, Mg0) sont établis à partir des lixiviations, des exportations par le végétal, des apports d'engrais et de paille, et des apports par les pluies, estimés par extrapolations, sans tenir compte des pertes par volatilisation (N), ni des variations dans les teneurs du sol au cours de l'expérience. En l'absence de restitution des pailles de sorgho les bilans en cations sont fortement déficitaires en K20 (malgré les 500 kg/ha de KCl apportés) en Ca0 et Mg0. Avec la restitution des pailles les bilans en Ca0 et en Mg0 sont encore déficitaires.</t>
  </si>
  <si>
    <t>U.C.</t>
  </si>
  <si>
    <t>Journal of the Indian Society of Soil Science</t>
  </si>
  <si>
    <t>218-223</t>
  </si>
  <si>
    <t>Lysimeter and field studies were conducted on three soils of varying texture to quantify the leaching loss of N due to precipitation in humid environment and its effect on the productivity of potato (Solanum tuberosum L.). The treatments were; three soils having different texture with four N rates, replicated three times in both, lysimeter and field studies. In lysimeter with 60 cm soil depth, maximum leaching of 53.9 kg N/ha was found during first year and 38.7 kg N/ha during second year of experimentation in light textured soil (Soil 3 or S3, clay content 9.2%), when the rainfall was 113.4 cm and 87.9 cm, respectively, during the cropping period. The corresponding values of N loss through leaching were; 28.1 and 24.2 N kg/ha in S2 (clay, 17.3%) and 25.3 and 22.8 N kg/ha in S1 (clay, 22.0%), when N through urea was applied at the rate of 200 kg along with 10 t/ha of farmyard manure. Application of farmyard manure slightly increased leaching of gross N in heavier soil, while no significant effect was observed in light soil. Dry matter yield and N uptake of potato increased significantly with applied N. Application of farmyard manure along with N increased the dry matter yield of potato by 10.8% and N uptake by 11.4% over N applied alone. Recovery of applied N varied from 24.3 and 58.8%, being higher in in light soils. More than 84% (R2 = 0.847) of the variability in N leaching was attributed to the amount of rainfall, sand content and N content (available + applied) of the soil. Concentration of N in leachate decreased with time. The field study showed that N leaching was significantly influenced by the rate of applied N, soil texture and amount of rainfall during the cropping period. The mean N loss was 14.2, 16.5 and 30.3 kg/ha through leaching in soils S1, S2 and S3, respectively. The NO3-N content of the soil was found to be higher in the surface layer (up to 20 cm) compared to lower depths (20-40 and 40-60 cm) and it increased with increase in applied N. Application of N increased the tuber yield of potato and productivity was significantly higher in light textured soil, though N loss through leaching was greater in this soil.</t>
  </si>
  <si>
    <t>Quantifying and modelling nitrate leaching from a lettuce field in Annapolis valley Nova Scotia. Master of Science Thesis.</t>
  </si>
  <si>
    <t>Dalhousie University, Nova Scotia, Canada.</t>
  </si>
  <si>
    <t>Negar</t>
  </si>
  <si>
    <t>Sharifi Mood</t>
  </si>
  <si>
    <t>Cabrera</t>
  </si>
  <si>
    <t>M.</t>
  </si>
  <si>
    <t>Murillo</t>
  </si>
  <si>
    <t>A.</t>
  </si>
  <si>
    <t>Reyes</t>
  </si>
  <si>
    <t>E.</t>
  </si>
  <si>
    <t>Cayuela</t>
  </si>
  <si>
    <t>Moreno</t>
  </si>
  <si>
    <t>Acta Horticulturae</t>
  </si>
  <si>
    <t>10.17660/ActaHortic.1993.335.5</t>
  </si>
  <si>
    <t>Francisco</t>
  </si>
  <si>
    <t>Felix</t>
  </si>
  <si>
    <t>Fenández-Boy</t>
  </si>
  <si>
    <t>Aparicio</t>
  </si>
  <si>
    <t>M.G.</t>
  </si>
  <si>
    <t>José Manuel</t>
  </si>
  <si>
    <t>Murillo Carpio</t>
  </si>
  <si>
    <t>Nitrate losses in two undisturbed soil ysirneters cultivated with corn under irrigation and fertilization (higher in Ll than in L2) were studied. Total drained water volume during the experimental period was higher in L2 than in Ll. Differences can be attributed both to different patterns of soil water dynamics and crop development in each lysimeter. Nitrate losses were higher in Ll than in L2 and occurred mainly during the crop season. This abnormal nitrate losses distribution seems to be due to the scarcity and uneven distribution of rainfall during autumn 1992.</t>
  </si>
  <si>
    <t>Fresenius Environmental Bulletin</t>
  </si>
  <si>
    <t>250-255</t>
  </si>
  <si>
    <t>Connecticut Agricultural Experiment Station Bulletin</t>
  </si>
  <si>
    <t>M.F.</t>
  </si>
  <si>
    <t>Morgan</t>
  </si>
  <si>
    <t>H.G.M.</t>
  </si>
  <si>
    <t>Jacobson</t>
  </si>
  <si>
    <t>S.B.</t>
  </si>
  <si>
    <t>LeCompte Jr.</t>
  </si>
  <si>
    <t>A lysimeter study of nitrate leaching, optimum fertilisation rate and growth responses of corn (Zea mays L.) following soil amendment with water-saving super-absorbent polymer</t>
  </si>
  <si>
    <t>Effect of manure quality on nitrate leaching and groundwater pollution in wetland soil under field tomato (Lycopersicon esculentum, Mill var. Heinz) rape (Brassica napus, L var. Giant)</t>
  </si>
  <si>
    <t>Nitrogen Management and Nitrification Inhibitor Effects on Nitrogen-15 Urea: II. Nitrogen Leaching and Balance</t>
  </si>
  <si>
    <t>Irrigation‐ and Nitrogen‐Management Impacts on Nitrate Leaching under Potato</t>
  </si>
  <si>
    <t>Cranfield University</t>
  </si>
  <si>
    <t>Maria I.</t>
  </si>
  <si>
    <t>Kokkora</t>
  </si>
  <si>
    <t>Generic crop product</t>
  </si>
  <si>
    <t>GADM-CHN.28.7_1</t>
  </si>
  <si>
    <t>Chabuchaer Farm, Ili River Valley</t>
  </si>
  <si>
    <t>Staples Irrigation Center</t>
  </si>
  <si>
    <t>Bajgah Agricultural Experiment Station</t>
  </si>
  <si>
    <t>Dry matter</t>
  </si>
  <si>
    <t>In situ incubation technique</t>
  </si>
  <si>
    <t>Weighing lysimeter</t>
  </si>
  <si>
    <t>Percolation lysimeter</t>
  </si>
  <si>
    <t>Tile drainage water measurement</t>
  </si>
  <si>
    <t>Wick lysimeter</t>
  </si>
  <si>
    <t>Pot drainage water measurement</t>
  </si>
  <si>
    <t>Suction cup lysimeter</t>
  </si>
  <si>
    <t>Subsurface drainage water measurement</t>
  </si>
  <si>
    <t>Mole drainage water measurement</t>
  </si>
  <si>
    <t>Pan lysimeter</t>
  </si>
  <si>
    <t>Drainage water measurement</t>
  </si>
  <si>
    <t>Rooting depth</t>
  </si>
  <si>
    <t>Rainfall (annual)</t>
  </si>
  <si>
    <t>Above ground crop residue, total</t>
  </si>
  <si>
    <t>Water, source unspecified</t>
  </si>
  <si>
    <t>Minimum tillage</t>
  </si>
  <si>
    <t>Full tillage</t>
  </si>
  <si>
    <t>No tillage</t>
  </si>
  <si>
    <t>CaCl2 method, soil pH</t>
  </si>
  <si>
    <t>H2O method, soil pH</t>
  </si>
  <si>
    <t>KCl method, soil pH</t>
  </si>
  <si>
    <t>Soil bulk density</t>
  </si>
  <si>
    <t>Gallejones (2014)</t>
  </si>
  <si>
    <t>Martínez-Casasnovas, J.A., (1998). Soils and their management in a prone erosion area devoted to high quality wine production. Soils: distribution and properties. In Boixadera, J., Poch, R.M., Herrero C. (eds), Tour Guide B8. Soil information for sustainable development. 16th World Congress of Soil Science. Montpellier, France, International Union of Soil Science. Lleida, Spain. Chapter 5.4: 1-17. DL L-1068-98.</t>
  </si>
  <si>
    <t>Urea; NH4SO4</t>
  </si>
  <si>
    <t>AN; CN</t>
  </si>
  <si>
    <t>NPK; Urea-NH4NO3</t>
  </si>
  <si>
    <t>Urea; DAP; NPK</t>
  </si>
  <si>
    <t>NPK; Urea</t>
  </si>
  <si>
    <t>AnhA; Urea-NH4NO3</t>
  </si>
  <si>
    <t>Starter</t>
  </si>
  <si>
    <t>Starter; AS; AN</t>
  </si>
  <si>
    <t>Liquid</t>
  </si>
  <si>
    <t>Calurea; Ammophos; AN; Lime; KN</t>
  </si>
  <si>
    <t>Urea; (NH4)H2PO4; KNO3; NH4NO3</t>
  </si>
  <si>
    <t>Urea; AN</t>
  </si>
  <si>
    <t>(NH4)2SO4; NH4NO3</t>
  </si>
  <si>
    <t>Urea; (NH4)2SO4</t>
  </si>
  <si>
    <t>Urea; NH4NO3; HNO</t>
  </si>
  <si>
    <t>NPK; Urea; Urea-NH4NO</t>
  </si>
  <si>
    <t>NPK; Polymer Coated Urea</t>
  </si>
  <si>
    <t>(NH4)2HPO4; Urea</t>
  </si>
  <si>
    <t>(NH4)2HPO4; Urea-NH4NO3</t>
  </si>
  <si>
    <t>(NH4)2HPO4; Polymer Coated Urea</t>
  </si>
  <si>
    <t>NPK; NH4NO3</t>
  </si>
  <si>
    <t>NH4NO3; CAN</t>
  </si>
  <si>
    <t>Sulphur coated urea</t>
  </si>
  <si>
    <t>Slow Relese</t>
  </si>
  <si>
    <t>replications</t>
  </si>
  <si>
    <t>Nitrification inhibitor used</t>
  </si>
  <si>
    <t>Urease inhibitor used</t>
  </si>
  <si>
    <t>CM-CDU-4 (controlled mineralizing acetaldehyde condensation urea)</t>
  </si>
  <si>
    <t>CM-CDU-10 (controlled mineralizing acetaldehyde condensation urea)</t>
  </si>
  <si>
    <t>Nitrogen uptake (edible part and above ground crop residue)</t>
  </si>
  <si>
    <t>Nitrogen uptake (edible part)</t>
  </si>
  <si>
    <t>Clay (soil texture)</t>
  </si>
  <si>
    <t>Clay loam (soil texture)</t>
  </si>
  <si>
    <t>Loam (soil texture)</t>
  </si>
  <si>
    <t>Loamy sand (soil texture)</t>
  </si>
  <si>
    <t>Sand (soil texture)</t>
  </si>
  <si>
    <t>Sandy clay loam (soil texture)</t>
  </si>
  <si>
    <t>Sandy loam (soil texture)</t>
  </si>
  <si>
    <t>Silt (soil texture)</t>
  </si>
  <si>
    <t>Silty clay (soil texture)</t>
  </si>
  <si>
    <t>Silty clay loam (soil texture)</t>
  </si>
  <si>
    <t>Previous Product</t>
  </si>
  <si>
    <t>180-1</t>
  </si>
  <si>
    <t>180-2</t>
  </si>
  <si>
    <t>180-3</t>
  </si>
  <si>
    <t>180-4</t>
  </si>
  <si>
    <t>180-5</t>
  </si>
  <si>
    <t>180-6</t>
  </si>
  <si>
    <t>180-7</t>
  </si>
  <si>
    <t>180-8</t>
  </si>
  <si>
    <t>180-9</t>
  </si>
  <si>
    <t>180-10</t>
  </si>
  <si>
    <t>180-11</t>
  </si>
  <si>
    <t>180-12</t>
  </si>
  <si>
    <t>180-13</t>
  </si>
  <si>
    <t>180-14</t>
  </si>
  <si>
    <t>180-15</t>
  </si>
  <si>
    <t>180-16</t>
  </si>
  <si>
    <t>180-17</t>
  </si>
  <si>
    <t>180-18</t>
  </si>
  <si>
    <t>180-19</t>
  </si>
  <si>
    <t>180-20</t>
  </si>
  <si>
    <t>180-21</t>
  </si>
  <si>
    <t>180-22</t>
  </si>
  <si>
    <t>180-23</t>
  </si>
  <si>
    <t>180-24</t>
  </si>
  <si>
    <t>180-25</t>
  </si>
  <si>
    <t>180-26</t>
  </si>
  <si>
    <t>180-27</t>
  </si>
  <si>
    <t>Exp 1, Treat A, Year 1 (100N to oats, 100N applied to WW, mouldboard-ploughed)</t>
  </si>
  <si>
    <t>Exp 1, Treat B, Year 1 (0N to peas, 100N applied to WW, mouldboard-ploughed)</t>
  </si>
  <si>
    <t>Exp 1, Treat C, Year 1 (0N to peas + catch crop, 100N applied to SW, mouldboard-ploughed)</t>
  </si>
  <si>
    <t>Exp 1, Treat D, Year 1 (30+150N to OSR+cc, 100N applied to WW, mouldboard-ploughed)</t>
  </si>
  <si>
    <t>Exp 1, Treat E, Year 1 (60+0N to OSR, 100N applied to WW, mouldboard-ploughed)</t>
  </si>
  <si>
    <t>Exp 1, Treat F, Year 1 (60+100N to OSR, 100N applied to WW, mouldboard-ploughed)</t>
  </si>
  <si>
    <t>Exp 1, Treat G, Year 1 (60+150N to OSR, 100N applied to WW, mouldboard-ploughed)</t>
  </si>
  <si>
    <t>Exp 1, Treat H, Year 1 (60+200N to OSR, 100N applied to WW, mouldboard-ploughed)</t>
  </si>
  <si>
    <t>Exp 1, Treat I , Year 1 (60+150N to OSR, 100N applied to WW, direct drilled)</t>
  </si>
  <si>
    <t>Exp 1, Treat A, Year 2 (100N to oats, 100N applied to WW, mouldboard-ploughed)</t>
  </si>
  <si>
    <t>Exp 1, Treat B, Year 2 (0N to peas, 100N applied to WW, mouldboard-ploughed)</t>
  </si>
  <si>
    <t>Exp 1, Treat C, Year 2 (0N to peas + catch crop, 100N applied to SW, mouldboard-ploughed)</t>
  </si>
  <si>
    <t>Exp 1, Treat D, Year 2 (30+150N to OSR+cc, 100N applied to WW, mouldboard-ploughed)</t>
  </si>
  <si>
    <t>Exp 1, Treat E, Year 2 (60+0N to OSR, 100N applied to WW, mouldboard-ploughed)</t>
  </si>
  <si>
    <t>Exp 1, Treat F, Year 2 (60+100N to OSR, 100N applied to WW, mouldboard-ploughed)</t>
  </si>
  <si>
    <t>Exp 1, Treat G, Year 2 (60+150N to OSR, 100N applied to WW, mouldboard-ploughed)</t>
  </si>
  <si>
    <t>Exp 1, Treat H, Year 2 (60+200N to OSR, 100N applied to WW, mouldboard-ploughed)</t>
  </si>
  <si>
    <t>Exp 1, Treat I , Year 2 (60+150N to OSR, 100N applied to WW, direct drilled)</t>
  </si>
  <si>
    <t>180-28</t>
  </si>
  <si>
    <t>180-29</t>
  </si>
  <si>
    <t>180-30</t>
  </si>
  <si>
    <t>180-31</t>
  </si>
  <si>
    <t>180-32</t>
  </si>
  <si>
    <t>180-33</t>
  </si>
  <si>
    <t>180-34</t>
  </si>
  <si>
    <t>180-35</t>
  </si>
  <si>
    <t>180-36</t>
  </si>
  <si>
    <t>Exp 2, Treat A, Year 1 (100N to oats, 100N applied to WW, mouldboard-ploughed)</t>
  </si>
  <si>
    <t>Exp 2, Treat B, Year 1 (0N to peas, 100N applied to WW, mouldboard-ploughed)</t>
  </si>
  <si>
    <t>Exp 2, Treat C, Year 1 (0N to peas + catch crop, 100N applied to SW, mouldboard-ploughed)</t>
  </si>
  <si>
    <t>Exp 2, Treat D, Year 1 (30+150N to OSR+cc, 100N applied to WW, mouldboard-ploughed)</t>
  </si>
  <si>
    <t>Exp 2, Treat E, Year 1 (60+0N to OSR, 100N applied to WW, mouldboard-ploughed)</t>
  </si>
  <si>
    <t>Exp 2, Treat F, Year 1 (60+100N to OSR, 100N applied to WW, mouldboard-ploughed)</t>
  </si>
  <si>
    <t>Exp 2, Treat G, Year 1 (60+150N to OSR, 100N applied to WW, mouldboard-ploughed)</t>
  </si>
  <si>
    <t>Exp 2, Treat H, Year 1 (60+200N to OSR, 100N applied to WW, mouldboard-ploughed)</t>
  </si>
  <si>
    <t>Exp 2, Treat I , Year 1 (60+150N to OSR, 100N applied to WW, direct drilled)</t>
  </si>
  <si>
    <t>Exp 2, Treat A, Year 2 (100N to oats, 100N applied to WW, mouldboard-ploughed)</t>
  </si>
  <si>
    <t>Exp 2, Treat B, Year 2 (0N to peas, 100N applied to WW, mouldboard-ploughed)</t>
  </si>
  <si>
    <t>Exp 2, Treat C, Year 2 (0N to peas + catch crop, 100N applied to SW, mouldboard-ploughed)</t>
  </si>
  <si>
    <t>Exp 2, Treat D, Year 2 (30+150N to OSR+cc, 100N applied to WW, mouldboard-ploughed)</t>
  </si>
  <si>
    <t>Exp 2, Treat E, Year 2 (60+0N to OSR, 100N applied to WW, mouldboard-ploughed)</t>
  </si>
  <si>
    <t>Exp 2, Treat F, Year 2 (60+100N to OSR, 100N applied to WW, mouldboard-ploughed)</t>
  </si>
  <si>
    <t>Exp 2, Treat G, Year 2 (60+150N to OSR, 100N applied to WW, mouldboard-ploughed)</t>
  </si>
  <si>
    <t>Exp 2, Treat H, Year 2 (60+200N to OSR, 100N applied to WW, mouldboard-ploughed)</t>
  </si>
  <si>
    <t>Exp 2, Treat I , Year 2 (60+150N to OSR, 100N applied to WW, direct drilled)</t>
  </si>
  <si>
    <t>sowing date</t>
  </si>
  <si>
    <t>harvest of previous crop</t>
  </si>
  <si>
    <t>TRUE</t>
  </si>
  <si>
    <t>Kronos</t>
  </si>
  <si>
    <t>Calypso</t>
  </si>
  <si>
    <t>Seed</t>
  </si>
  <si>
    <t>Freddy</t>
  </si>
  <si>
    <t>Brutus</t>
  </si>
  <si>
    <t>Faust</t>
  </si>
  <si>
    <t>4;8</t>
  </si>
  <si>
    <t>6.5;8</t>
  </si>
  <si>
    <t>2004-08-18;2005-04-04</t>
  </si>
  <si>
    <t>2005-08-25; 2006-04-24</t>
  </si>
  <si>
    <t>FALSE</t>
  </si>
  <si>
    <t>Harrowing, with tine cultivator</t>
  </si>
  <si>
    <t>Ploughing, with moldboard plough</t>
  </si>
  <si>
    <t>Harrowing, machine unspecified</t>
  </si>
  <si>
    <t>Harnesk</t>
  </si>
  <si>
    <t>Olivin</t>
  </si>
  <si>
    <t>Triso</t>
  </si>
  <si>
    <t>Vinjett</t>
  </si>
  <si>
    <t>Drainage water (monthly)</t>
  </si>
  <si>
    <t>2004-09;2004-10;2004-11;2004-12;2005-01;2005-02;2005-03;2005-04;2005-05;2005-10;2005-11;2005-12;2006-01;2006-02;2006-03;2006-04;2006-05;2006-08;2006-09;2006-10;2006-11;2006-12;2007-01;2007-02;2007-03;2007-04;2007-05</t>
  </si>
  <si>
    <t>1.56;36.76;46.54;28.16;52.79;0.78;20.34;0.39;0.39;1.17;6.26;7.04;3.13;0.39;35.2;59.83;10.95;17.6;1.96;38.32;41.06;54.36;54.36;12.12;33.24;0.39;0.78</t>
  </si>
  <si>
    <t>Data were taken from a long-term field leaching experiment on a sandy loam soil: Fotegården 58◦28 N, 13◦21 E, approx. 20 km from Götala experimental farm.</t>
  </si>
  <si>
    <t>Rainfall (monthly)</t>
  </si>
  <si>
    <t>126;61;55;62;58;18;37;14;18;23;56;96;104;47;14;56;40;18;21;23;29;49;62;35;33;96;23;101;49;67;80;19;48;26;63;95</t>
  </si>
  <si>
    <t>2004-07;2004-08;2004-09;2004-10;2004-11;2004-12;2005-01;2005-02;2005-03;2005-04;2005-05;2005-06;2005-07;2005-08;2005-09;2005-10;2005-11;2005-12;2006-01;2006-02;2006-03;2006-04;2006-05;2006-06;2006-07;2006-08;2006-09;2006-10;2006-11;2006-12;2007-01;2007-02;2007-03;2007-04;2007-05;2007-06</t>
  </si>
  <si>
    <t>--07;--08;--09;--10;--11;--12;--01;--02;--03;--04;--05;--06</t>
  </si>
  <si>
    <t>63;62;65;61;56;39;37;24;29;30;41;51</t>
  </si>
  <si>
    <t>Temperature (monthly)</t>
  </si>
  <si>
    <t>14.4;17;12;6.8;1.1;2.1;1;-1.7;-1.4;6;9.9;12.8;16.6;15.6;11.6;7.8;4.8;-0.1;-4.3;-3.8;-5.9;4.9;11.1;15.2;18.9;16.8;14.8;9.9;5.3;4.5;1.3;-1.6;4.1;7.5;10.3;15.5</t>
  </si>
  <si>
    <t>15.7;14.9;11;7.1;2.1;-1.4;-3.1;-3.4;-0.3;4.4;10.6;14.7</t>
  </si>
  <si>
    <t>Nitrogen in irrigation water (kg N)</t>
  </si>
  <si>
    <t>Ammonium Nitrate (kg N)</t>
  </si>
  <si>
    <t>Ammonium Sulphate (kg N)</t>
  </si>
  <si>
    <t>Calcium Ammonium Nitrate (kg N)</t>
  </si>
  <si>
    <t>Urea (kg N)</t>
  </si>
  <si>
    <t>NPK Blend (kg N)</t>
  </si>
  <si>
    <t>Urea Ammonium Nitrate (kg N)</t>
  </si>
  <si>
    <t>Anhydrous Ammonia (kg N)</t>
  </si>
  <si>
    <t>NPK Blend (kg P2O5)</t>
  </si>
  <si>
    <t>Potassium Chloride (kg K2O)</t>
  </si>
  <si>
    <t>NPK Blend (kg K2O)</t>
  </si>
  <si>
    <t>Potassium Magnesium Sulphate (kg K2O)</t>
  </si>
  <si>
    <t>Triple Super Phosphate (kg P2O5)</t>
  </si>
  <si>
    <t>Manure, fresh (kg N)</t>
  </si>
  <si>
    <t>Slurry and sludge (kg N)</t>
  </si>
  <si>
    <t>Organic matter (per kg soil)</t>
  </si>
  <si>
    <t>Organic nitrogen (per kg soil)</t>
  </si>
  <si>
    <t>Organic carbon (per kg soil)</t>
  </si>
  <si>
    <t>Mineral nitrogen (per m3 soil)</t>
  </si>
  <si>
    <t>SEK</t>
  </si>
  <si>
    <t>2004-09;2004-10;2004-11;2004-12;2005-01;2005-02;2005-03;2005-04;2005-05;2005-06</t>
  </si>
  <si>
    <t>0.443;23.461;60.202;27.888;30.101;0.443;7.083;6.64;0;4.427</t>
  </si>
  <si>
    <t>0.443;23.019;47.808;29.216;29.659;0.443;7.083;6.64;0;5.312</t>
  </si>
  <si>
    <t>0.443;21.691;46.037;29.659;33.2;0.443;8.853;6.64;0;5.312</t>
  </si>
  <si>
    <t>19.477;9.739;17.264;11.067;16.379;0.443;6.197;6.197;0;4.869</t>
  </si>
  <si>
    <t>11.509;8.411;23.461;14.165;14.608;0.443;5.312;5.312;0;3.541</t>
  </si>
  <si>
    <t>23.019;9.739;18.149;15.493;17.707;0;4.869;5.312;0;3.541</t>
  </si>
  <si>
    <t>24.347;9.296;17.264;14.165;18.592;0.443;7.083;8.853;0.443;6.64</t>
  </si>
  <si>
    <t>16.821;13.28;22.133;14.608;19.477;0.443;7.083;7.083;0;4.427</t>
  </si>
  <si>
    <t>14.165;9.296;16.379;9.296;11.509;0;3.541;4.869;0;4.427</t>
  </si>
  <si>
    <t>2005-10;2005-11;2005-12;2006-01;2006-02;2006-03;2006-04;2006-05</t>
  </si>
  <si>
    <t>1.328;7.083;11.509;5.312;0.443;54.89;86.762;12.395</t>
  </si>
  <si>
    <t>1.771;7.968;12.395;5.755;0.443;55.776;92.96;12.837</t>
  </si>
  <si>
    <t>1.328;6.64;12.837;5.755;0.443;62.416;102.698;15.493</t>
  </si>
  <si>
    <t>1.771;7.525;11.509;5.312;0.443;54.005;80.122;8.853</t>
  </si>
  <si>
    <t>1.328;6.197;9.739;4.427;0.443;51.349;79.68;8.411</t>
  </si>
  <si>
    <t>0.885;3.984;9.296;3.984;0;42.496;72.154;10.181</t>
  </si>
  <si>
    <t>1.328;5.755;10.624;4.869;0.443;48.693;77.466;10.624</t>
  </si>
  <si>
    <t>1.328;6.197;10.624;4.427;0.443;42.938;69.056;10.624</t>
  </si>
  <si>
    <t>1.328;5.755;11.952;5.312;0.443;57.989;94.288;12.837</t>
  </si>
  <si>
    <t>1.328;5.312;12.395;5.312;0.443;49.136;82.336;11.952</t>
  </si>
  <si>
    <t>1.328;6.197;9.739;4.427;0.443;52.677;106.682;16.379</t>
  </si>
  <si>
    <t>0.885;5.755;9.739;5.312;0.443;75.696;119.519;9.739</t>
  </si>
  <si>
    <t>0.885;5.312;10.181;4.869;0.443;51.792;82.336;11.067</t>
  </si>
  <si>
    <t>0.885;3.984;7.083;3.541;0;42.938;70.384;11.509</t>
  </si>
  <si>
    <t>1.328;5.755;11.509;4.869;0.443;43.824;74.368;8.853</t>
  </si>
  <si>
    <t>0.885;4.427;9.739;4.427;0;40.725;73.925;10.624</t>
  </si>
  <si>
    <t>1.328;6.197;15.936;7.083;0.443;75.696;131.029;19.477</t>
  </si>
  <si>
    <t>1.328;6.64;14.165;6.64;0.443;69.056;120.405;15.493</t>
  </si>
  <si>
    <t>2006-08;2006-09;2006-10;2006-11;2006-12;2007-01;2007-02;2007-03</t>
  </si>
  <si>
    <t>25.232;3.099;58.874;63.744;40.725;19.477;3.541;10.624</t>
  </si>
  <si>
    <t>26.56;3.541;68.17;88.09;74.368;25.232;3.984;13.723</t>
  </si>
  <si>
    <t>28.331;3.541;64.186;57.546;40.282;24.789;5.312;18.149</t>
  </si>
  <si>
    <t>15.051;1.771;39.397;46.48;77.909;50.906;7.968;16.821</t>
  </si>
  <si>
    <t>5.755;0.885;15.493;42.053;56.661;25.675;4.869;11.067</t>
  </si>
  <si>
    <t>16.821;2.213;48.693;61.53;71.269;40.725;6.197;16.821</t>
  </si>
  <si>
    <t>20.805;2.656;56.661;73.482;84.992;51.349;7.968;18.592</t>
  </si>
  <si>
    <t>34.97;4.427;88.976;86.32;114.207;78.794;12.395;29.216</t>
  </si>
  <si>
    <t>21.248;2.656;48.693;57.104;81.008;46.037;7.968;16.821</t>
  </si>
  <si>
    <t>Nitrogen uptake (whole crop)</t>
  </si>
  <si>
    <t>Nitrogen uptake (weeds and volunteers)</t>
  </si>
  <si>
    <t>47;22</t>
  </si>
  <si>
    <t>74;51</t>
  </si>
  <si>
    <t>2004-11-04;2005-03-30</t>
  </si>
  <si>
    <t>2005-11-11</t>
  </si>
  <si>
    <t>11.78;6.11;6;4.78;6.33;5.44;3.89</t>
  </si>
  <si>
    <t>11.78;6.11;6;6.56;6;5.78;4.56</t>
  </si>
  <si>
    <t>11.78;6.11;6;4.67;4.22;5.89;6.89</t>
  </si>
  <si>
    <t>13;3.11;5.33;7.11;6.56;5.67;4.11</t>
  </si>
  <si>
    <t>10.11;3.33;5.67;3.89;5;6.78;4.33</t>
  </si>
  <si>
    <t>10.11;3.33;5.67;6;5.33;5.44;4.22</t>
  </si>
  <si>
    <t>10.11;3.33;5.67;7.78;6.89;6.67;4.11</t>
  </si>
  <si>
    <t>10.11;3.33;5.67;11.44;8.89;6.89;4.78</t>
  </si>
  <si>
    <t>10.11;3.33;5.67;8.78;9.56;7.89;5.78</t>
  </si>
  <si>
    <t>2004-08-18;2004-11-04;2005-04-01;2005-08-10;2005-11-18;2006-04-21;2005-08-07</t>
  </si>
  <si>
    <t>7.11;5.11;5.89;6.33;5.22;3.56;2.33</t>
  </si>
  <si>
    <t>7.11;5.11;5.89;6.44;5.22;4.89;1.89</t>
  </si>
  <si>
    <t>7.11;5.11;5.89;5;3.33;4.67;2.33</t>
  </si>
  <si>
    <t>8;3.78;4.56;6.67;6.22;2.89;2.11</t>
  </si>
  <si>
    <t>7.56;3.56;5.56;2.78;4.44;2.78;2</t>
  </si>
  <si>
    <t>7.56;3.56;5.56;3.56;4.78;3.44;1.89</t>
  </si>
  <si>
    <t>7.56;3.56;5.56;5.78;6.11;3;2.11</t>
  </si>
  <si>
    <t>7.56;3.56;5.56;8.78;7.89;3.22;2</t>
  </si>
  <si>
    <t>7.56;3.56;5.56;5;5.89;3.44;2.22</t>
  </si>
  <si>
    <t>2005-08-23;2005-11-17;2006-04-12;2006-08-04;2006-11-06;2006-03-28;2006-07-30</t>
  </si>
  <si>
    <t>Sowing or planting, machine unspecified</t>
  </si>
  <si>
    <t>Harvesting, machine unspecified</t>
  </si>
  <si>
    <t>2005-09-15</t>
  </si>
  <si>
    <t>2006-09-20</t>
  </si>
  <si>
    <t>Ploughing, machine unspecified</t>
  </si>
  <si>
    <t>2006-11-02</t>
  </si>
  <si>
    <t>2005-11-02</t>
  </si>
  <si>
    <t>2005-08-10</t>
  </si>
  <si>
    <t>2006-08-07</t>
  </si>
  <si>
    <t>2006-08-04</t>
  </si>
  <si>
    <t>2007-07-30</t>
  </si>
  <si>
    <t>2004-11-04</t>
  </si>
  <si>
    <t>cycle.functionalUnit</t>
  </si>
  <si>
    <t>Total nitrogen (per kg soil)</t>
  </si>
  <si>
    <t>Sowing seeds, with seed drill</t>
  </si>
  <si>
    <t>Nitrogen in precipitation (kg N)</t>
  </si>
  <si>
    <t>NO3, to groundwater, soil flux</t>
  </si>
  <si>
    <t>NH4, to groundwater, soil flux</t>
  </si>
  <si>
    <t>Silt loam (soil texture)</t>
  </si>
  <si>
    <t>Cation exchange capacity (per kg soil)</t>
  </si>
  <si>
    <t>source.id</t>
  </si>
  <si>
    <t>source.bibliography.title</t>
  </si>
  <si>
    <t>source.bibliography.outlet</t>
  </si>
  <si>
    <t>source.bibliography.year</t>
  </si>
  <si>
    <t>source.bibliography.volume</t>
  </si>
  <si>
    <t>source.bibliography.issue</t>
  </si>
  <si>
    <t>source.bibliography.pages</t>
  </si>
  <si>
    <t>source.bibliography.documentDOI</t>
  </si>
  <si>
    <t>source.bibliography.abstract</t>
  </si>
  <si>
    <t>source.bibliography.authors.0.id</t>
  </si>
  <si>
    <t>source.bibliography.authors.0.firstName</t>
  </si>
  <si>
    <t>source.bibliography.authors.0.lastName</t>
  </si>
  <si>
    <t>source.bibliography.authors.0.dataPrivate</t>
  </si>
  <si>
    <t>source.bibliography.authors.1.id</t>
  </si>
  <si>
    <t>source.bibliography.authors.1.firstName</t>
  </si>
  <si>
    <t>source.bibliography.authors.1.lastName</t>
  </si>
  <si>
    <t>source.bibliography.authors.1.dataPrivate</t>
  </si>
  <si>
    <t>source.bibliography.authors.2.id</t>
  </si>
  <si>
    <t>source.bibliography.authors.2.firstName</t>
  </si>
  <si>
    <t>source.bibliography.authors.2.lastName</t>
  </si>
  <si>
    <t>source.bibliography.authors.2.dataPrivate</t>
  </si>
  <si>
    <t>source.bibliography.authors.3.id</t>
  </si>
  <si>
    <t>source.bibliography.authors.3.firstName</t>
  </si>
  <si>
    <t>source.bibliography.authors.3.lastName</t>
  </si>
  <si>
    <t>source.bibliography.authors.3.dataPrivate</t>
  </si>
  <si>
    <t>source.bibliography.authors.4.id</t>
  </si>
  <si>
    <t>source.bibliography.authors.4.firstName</t>
  </si>
  <si>
    <t>source.bibliography.authors.4.lastName</t>
  </si>
  <si>
    <t>source.bibliography.authors.4.dataPrivate</t>
  </si>
  <si>
    <t>source.bibliography.authors.5.id</t>
  </si>
  <si>
    <t>source.bibliography.authors.5.firstName</t>
  </si>
  <si>
    <t>source.bibliography.authors.5.lastName</t>
  </si>
  <si>
    <t>source.bibliography.authors.5.dataPrivate</t>
  </si>
  <si>
    <t>site.id</t>
  </si>
  <si>
    <t>cycle.site.id</t>
  </si>
  <si>
    <t>cycle.defaultSource.id</t>
  </si>
  <si>
    <t>site.defaultSource.id</t>
  </si>
  <si>
    <t>site.country.name</t>
  </si>
  <si>
    <t>site.description</t>
  </si>
  <si>
    <t>site.region.@id</t>
  </si>
  <si>
    <t>site.latitude</t>
  </si>
  <si>
    <t>site.longitude</t>
  </si>
  <si>
    <t>site.siteType</t>
  </si>
  <si>
    <t>site.area</t>
  </si>
  <si>
    <t>site.numberOfSites</t>
  </si>
  <si>
    <t>cycle.startDate</t>
  </si>
  <si>
    <t>cycle.startDateDefinition</t>
  </si>
  <si>
    <t>cycle.endDate</t>
  </si>
  <si>
    <t>cycle.products.0.term.name</t>
  </si>
  <si>
    <t>cycle.products.0.variety</t>
  </si>
  <si>
    <t>cycle.products.0.description</t>
  </si>
  <si>
    <t>cycle.products.0.value</t>
  </si>
  <si>
    <t>cycle.products.0.price</t>
  </si>
  <si>
    <t>cycle.products.0.currency</t>
  </si>
  <si>
    <t>cycle.products.0.properties.0.term.name</t>
  </si>
  <si>
    <t>cycle.products.0.properties.0.value</t>
  </si>
  <si>
    <t>cycle.products.0.properties.1.term.name</t>
  </si>
  <si>
    <t>cycle.products.0.properties.1.max</t>
  </si>
  <si>
    <t>cycle.products.1.term.name</t>
  </si>
  <si>
    <t>cycle.products.1.value</t>
  </si>
  <si>
    <t>cycle.products.2.term.name</t>
  </si>
  <si>
    <t>cycle.products.2.value</t>
  </si>
  <si>
    <t>cycle.products.2.dates</t>
  </si>
  <si>
    <t>site.measurements.0.term.name</t>
  </si>
  <si>
    <t>site.measurements.1.term.name</t>
  </si>
  <si>
    <t>site.measurements.1.value</t>
  </si>
  <si>
    <t>site.measurements.1.depthUpper</t>
  </si>
  <si>
    <t>site.measurements.1.depthLower</t>
  </si>
  <si>
    <t>site.measurements.2.term.name</t>
  </si>
  <si>
    <t>site.measurements.2.value</t>
  </si>
  <si>
    <t>site.measurements.2.depthUpper</t>
  </si>
  <si>
    <t>site.measurements.2.depthLower</t>
  </si>
  <si>
    <t>site.measurements.3.term.name</t>
  </si>
  <si>
    <t>site.measurements.3.value</t>
  </si>
  <si>
    <t>site.measurements.3.depthUpper</t>
  </si>
  <si>
    <t>site.measurements.3.depthLower</t>
  </si>
  <si>
    <t>site.measurements.4.term.name</t>
  </si>
  <si>
    <t>site.measurements.4.value</t>
  </si>
  <si>
    <t>site.measurements.4.depthUpper</t>
  </si>
  <si>
    <t>site.measurements.4.depthLower</t>
  </si>
  <si>
    <t>site.measurements.5.term.name</t>
  </si>
  <si>
    <t>site.measurements.5.value</t>
  </si>
  <si>
    <t>site.measurements.5.depthUpper</t>
  </si>
  <si>
    <t>site.measurements.5.depthLower</t>
  </si>
  <si>
    <t>site.measurements.6.term.name</t>
  </si>
  <si>
    <t>site.measurements.6.value</t>
  </si>
  <si>
    <t>site.measurements.6.depthUpper</t>
  </si>
  <si>
    <t>site.measurements.6.depthLower</t>
  </si>
  <si>
    <t>site.measurements.7.term.name</t>
  </si>
  <si>
    <t>site.measurements.7.value</t>
  </si>
  <si>
    <t>site.measurements.7.depthUpper</t>
  </si>
  <si>
    <t>site.measurements.7.depthLower</t>
  </si>
  <si>
    <t>site.measurements.8.term.name</t>
  </si>
  <si>
    <t>site.measurements.8.value</t>
  </si>
  <si>
    <t>site.measurements.8.depthUpper</t>
  </si>
  <si>
    <t>site.measurements.8.depthLower</t>
  </si>
  <si>
    <t>site.measurements.9.term.name</t>
  </si>
  <si>
    <t>site.measurements.9.value</t>
  </si>
  <si>
    <t>site.measurements.9.depthUpper</t>
  </si>
  <si>
    <t>site.measurements.9.depthLower</t>
  </si>
  <si>
    <t>site.measurements.10.term.name</t>
  </si>
  <si>
    <t>site.measurements.10.value</t>
  </si>
  <si>
    <t>site.measurements.10.depthUpper</t>
  </si>
  <si>
    <t>site.measurements.10.depthLower</t>
  </si>
  <si>
    <t>site.measurements.11.term.name</t>
  </si>
  <si>
    <t>site.measurements.11.value</t>
  </si>
  <si>
    <t>site.measurements.11.depthUpper</t>
  </si>
  <si>
    <t>site.measurements.11.depthLower</t>
  </si>
  <si>
    <t>site.measurements.12.term.name</t>
  </si>
  <si>
    <t>site.measurements.12.value</t>
  </si>
  <si>
    <t>site.measurements.12.depthUpper</t>
  </si>
  <si>
    <t>site.measurements.12.depthLower</t>
  </si>
  <si>
    <t>site.measurements.13.term.name</t>
  </si>
  <si>
    <t>site.measurements.13.value</t>
  </si>
  <si>
    <t>site.measurements.13.depthUpper</t>
  </si>
  <si>
    <t>site.measurements.13.depthLower</t>
  </si>
  <si>
    <t>site.measurements.14.term.name</t>
  </si>
  <si>
    <t>site.measurements.14.value</t>
  </si>
  <si>
    <t>site.measurements.14.depthUpper</t>
  </si>
  <si>
    <t>site.measurements.14.depthLower</t>
  </si>
  <si>
    <t>site.measurements.15.term.name</t>
  </si>
  <si>
    <t>site.measurements.15.value</t>
  </si>
  <si>
    <t>site.measurements.15.depthUpper</t>
  </si>
  <si>
    <t>site.measurements.15.depthLower</t>
  </si>
  <si>
    <t>site.measurements.16.term.name</t>
  </si>
  <si>
    <t>site.measurements.16.value</t>
  </si>
  <si>
    <t>site.measurements.16.dates</t>
  </si>
  <si>
    <t>site.measurements.16.startDate</t>
  </si>
  <si>
    <t>site.measurements.16.endDate</t>
  </si>
  <si>
    <t>site.measurements.17.term.name</t>
  </si>
  <si>
    <t>site.measurements.17.value</t>
  </si>
  <si>
    <t>site.measurements.17.dates</t>
  </si>
  <si>
    <t>site.measurements.17.startDate</t>
  </si>
  <si>
    <t>site.measurements.17.endDate</t>
  </si>
  <si>
    <t>site.measurements.18.term.name</t>
  </si>
  <si>
    <t>site.measurements.18.value</t>
  </si>
  <si>
    <t>site.measurements.18.dates</t>
  </si>
  <si>
    <t>site.measurements.18.description</t>
  </si>
  <si>
    <t>site.measurements.19.term.name</t>
  </si>
  <si>
    <t>site.measurements.19.value</t>
  </si>
  <si>
    <t>site.measurements.19.dates</t>
  </si>
  <si>
    <t>site.measurements.20.term.name</t>
  </si>
  <si>
    <t>site.measurements.20.value</t>
  </si>
  <si>
    <t>site.measurements.20.dates</t>
  </si>
  <si>
    <t>site.measurements.20.startDate</t>
  </si>
  <si>
    <t>site.measurements.20.endDate</t>
  </si>
  <si>
    <t>site.measurements.21.term.name</t>
  </si>
  <si>
    <t>site.measurements.21.value</t>
  </si>
  <si>
    <t>site.measurements.21.depthUpper</t>
  </si>
  <si>
    <t>site.measurements.21.depthLower</t>
  </si>
  <si>
    <t>site.measurements.22.term.name</t>
  </si>
  <si>
    <t>site.measurements.22.value</t>
  </si>
  <si>
    <t>site.measurements.22.depthUpper</t>
  </si>
  <si>
    <t>site.measurements.22.depthLower</t>
  </si>
  <si>
    <t>site.measurements.23.term.name</t>
  </si>
  <si>
    <t>site.measurements.23.value</t>
  </si>
  <si>
    <t>site.measurements.23.depthUpper</t>
  </si>
  <si>
    <t>site.measurements.23.depthLower</t>
  </si>
  <si>
    <t>site.measurements.23.description</t>
  </si>
  <si>
    <t>site.measurements.24.term.name</t>
  </si>
  <si>
    <t>site.measurements.24.value</t>
  </si>
  <si>
    <t>site.measurements.24.dates</t>
  </si>
  <si>
    <t>site.measurements.24.observations</t>
  </si>
  <si>
    <t>site.measurements.24.statsDefinition</t>
  </si>
  <si>
    <t>cycle.inputs.0.term.name</t>
  </si>
  <si>
    <t>cycle.inputs.0.value</t>
  </si>
  <si>
    <t>cycle.inputs.0.dates</t>
  </si>
  <si>
    <t>cycle.inputs.1.term.name</t>
  </si>
  <si>
    <t>cycle.inputs.1.value</t>
  </si>
  <si>
    <t>cycle.inputs.1.description</t>
  </si>
  <si>
    <t>cycle.inputs.1.cost</t>
  </si>
  <si>
    <t>cycle.inputs.1.currency</t>
  </si>
  <si>
    <t>cycle.inputs.1.properties.0.term.name</t>
  </si>
  <si>
    <t>cycle.inputs.1.properties.0.value</t>
  </si>
  <si>
    <t>cycle.inputs.2.term.name</t>
  </si>
  <si>
    <t>cycle.inputs.2.value</t>
  </si>
  <si>
    <t>cycle.inputs.2.properties.0.term.name</t>
  </si>
  <si>
    <t>cycle.inputs.2.properties.0.value</t>
  </si>
  <si>
    <t>cycle.inputs.3.term.name</t>
  </si>
  <si>
    <t>cycle.inputs.3.value</t>
  </si>
  <si>
    <t>cycle.inputs.3.properties.0.term.name</t>
  </si>
  <si>
    <t>cycle.inputs.3.properties.0.value</t>
  </si>
  <si>
    <t>cycle.inputs.4.term.name</t>
  </si>
  <si>
    <t>cycle.inputs.4.value</t>
  </si>
  <si>
    <t>cycle.inputs.5.term.name</t>
  </si>
  <si>
    <t>cycle.inputs.5.value</t>
  </si>
  <si>
    <t>cycle.inputs.6.term.name</t>
  </si>
  <si>
    <t>cycle.inputs.6.value</t>
  </si>
  <si>
    <t>cycle.inputs.7.term.name</t>
  </si>
  <si>
    <t>cycle.inputs.7.value</t>
  </si>
  <si>
    <t>cycle.inputs.8.term.name</t>
  </si>
  <si>
    <t>cycle.inputs.8.value</t>
  </si>
  <si>
    <t>cycle.inputs.9.term.name</t>
  </si>
  <si>
    <t>cycle.inputs.9.value</t>
  </si>
  <si>
    <t>cycle.inputs.10.term.name</t>
  </si>
  <si>
    <t>cycle.inputs.10.value</t>
  </si>
  <si>
    <t>cycle.practices.0.term.name</t>
  </si>
  <si>
    <t>cycle.practices.2.term.name</t>
  </si>
  <si>
    <t>cycle.practices.2.description</t>
  </si>
  <si>
    <t>cycle.practices.2.dates</t>
  </si>
  <si>
    <t>cycle.practices.3.term.name</t>
  </si>
  <si>
    <t>cycle.practices.4.term.name</t>
  </si>
  <si>
    <t>cycle.practices.5.term.name</t>
  </si>
  <si>
    <t>cycle.practices.6.term.name</t>
  </si>
  <si>
    <t>cycle.practices.6.dates</t>
  </si>
  <si>
    <t>cycle.emissions.0.term.name</t>
  </si>
  <si>
    <t>cycle.emissions.0.value</t>
  </si>
  <si>
    <t>cycle.emissions.0.dates</t>
  </si>
  <si>
    <t>cycle.emissions.0.sd</t>
  </si>
  <si>
    <t>cycle.emissions.0.observations</t>
  </si>
  <si>
    <t>cycle.emissions.0.statsDefinition</t>
  </si>
  <si>
    <t>cycle.emissions.0.methodModel.name</t>
  </si>
  <si>
    <t>cycle.emissions.0.methodModelDescription</t>
  </si>
  <si>
    <t>cycle.emissions.0.methodTier</t>
  </si>
  <si>
    <t>cycle.emissions.1.term.name</t>
  </si>
  <si>
    <t>cycle.emissions.1.value</t>
  </si>
  <si>
    <t>cycle.emissions.1.sd</t>
  </si>
  <si>
    <t>cycle.emissions.1.statsDefinition</t>
  </si>
  <si>
    <t>cycle.emissions.1.methodModel.name</t>
  </si>
  <si>
    <t>cycle.emissions.1.methodModelDescription</t>
  </si>
  <si>
    <t>cycle.emissions.1.methodTier</t>
  </si>
  <si>
    <t>1990-10</t>
  </si>
  <si>
    <t>cycle.inputs.6.properties.0.term.name</t>
  </si>
  <si>
    <t>Carbon content</t>
  </si>
  <si>
    <t>cycle.inputs.6.properties.0.value</t>
  </si>
  <si>
    <t>Inorganic Nitrogen fertiliser, unspecified (kg N)</t>
  </si>
  <si>
    <t>fertiliser use efficiency and nitrate leaching in a tropical sandy soil</t>
  </si>
  <si>
    <t>Effects of cropping system and rates of nitrogen in animal slurry and mineral fertiliser on nitrate leaching from a sandy loam</t>
  </si>
  <si>
    <t>Drainage and nitrate leaching in a crop rotation under different N-fertiliser strategies: application of capacitance probes</t>
  </si>
  <si>
    <t>SG (single fertiliser application at growth stage)</t>
  </si>
  <si>
    <t>B0SD0 (control, no fertiliser and sidedress application)</t>
  </si>
  <si>
    <t>Nitrate leaching (NO3-) from vegetable fields has become significant environmental issue in North America. The objective of this study was to evaluate the effect of timing and rate of nitrogen (N) fertiliser on lettuce yield and NO3 leaching. LEACHN model also was used to simulate NO3- leaching. Nitrogen fertilization treatments include preplant application; 90 kg N ha-1 a week prior to planting and 30 kg N ha-1 two weeks after planting and split application; 60 kg N ha-1 both before and two weeks after planting with four levels of sidedress N fertilisers (0, 15, 30, 45 kg N ha-1) for split and two levels of 0 and 30 kg N ha-1 for preplant treatments. Extra irrigation (8 cm) was applied to preplant treatments late in the season. Results showed no significant yield differences but 11% greater residual mineral N in top 30 cm of soil for preplant treatments which indicates increased risk of NO3 leaching in the following fall and winter. The LEACHN predicted average of 101 and 61 kg N ha-1 leaching from 1 June 2012 to 31 March 2013 in preplant and split treatments respectively. This showed major leaching during nongrowing season so the management practices should focus on methods preserving N in the soil after harvest.</t>
  </si>
  <si>
    <t>PSD0+R (pre-plant fertiliser application 90/30 with no sidedress and extra irrigation)</t>
  </si>
  <si>
    <t>PSD30+R (pre-plant fertiliser application 90/30 with 30 kg N ha-1 sidedress and extra irrigation)</t>
  </si>
  <si>
    <t>PSD0-R (pre-plant fertiliser application of 90/30 with no sidedress and no extra irrigation)</t>
  </si>
  <si>
    <t>PSD30-R (pre-plant fertiliser application 90/30 with 30 kg N ha-1 sidedress and no extra irrigation)</t>
  </si>
  <si>
    <t>P0 (no fertiliser)</t>
  </si>
  <si>
    <t>P1 (optimal fertiliser rate, as slurry)</t>
  </si>
  <si>
    <t>U (optimal fertiliser rate, as urea)</t>
  </si>
  <si>
    <t>P3 (excessive fertiliser rate, as slurry)</t>
  </si>
  <si>
    <t>Inorganic Phosphorus fertiliser, unspecified (kg P2O5)</t>
  </si>
  <si>
    <t>Inorganic Potassium fertiliser, unspecified (kg K2O)</t>
  </si>
  <si>
    <t>Controlled release fertiliser used</t>
  </si>
  <si>
    <t>LS (conventional system, animal and mineral fertilisers)</t>
  </si>
  <si>
    <t>Nitrate loss in subsurface drainage as affected by nitrogen fertiliser rate</t>
  </si>
  <si>
    <t>Losses of nitrate from an undisturbed sandy loam soil contained in two monolith lysimeters, L0 and L1, (1 m diameter, 1.5 m deep) under corn and irrigation (628 mm) were studied. The crop was fertilized with 0 (L0) and 800 (L1) kg N ha-1. Water draining was collected periodically and analysed for nitrate content during the experimental period (20 March 91–23 March 92).
Mean values of nitrate concentration in the drainage water were 3.1 and 41.2 mg NO3-N 1-1 in L0 and L1 respectively, the latter much higher than the limit imposed by the EC for potable water (11.3 mg N 1-1). Three periods were distinguished during the experiment: i) Crop season, in which the total volume of water drained was 310 and 47 mm respectively in the L0 and L1, while the nitrate losses were of the same order in both lysimeters (21 and 17 kg N ha-1, respectively); ii) Dry season, in which there was no water drainage; and iii) Rainy season, in which the total drained water was 157 and 139 mm, and the nitrate losses 5 and 91 kg N ha-1 in L0 and L1 respectively. The greater amount of water drained in L0 is due to the lower crop development (grain yield 4.4 and 21.3 t ha-1; total nitrogen plant uptake 69 and 400 kg N ha-1, in L0 and L1 respectively). Total nitrate losses in L1 account for 13% of the nitrogen fertiliser applied. Most of these losses occur in the rainy season.</t>
  </si>
  <si>
    <t>CK (no fertilisers)</t>
  </si>
  <si>
    <t>RF (reduced fertiliser application)</t>
  </si>
  <si>
    <t>RF + C/N (reduced fertiliser application + regulation of soil C/N ratio)</t>
  </si>
  <si>
    <t>Inorganic Sulphur fertiliser, unspecified (kg S)</t>
  </si>
  <si>
    <t>Residual effects of different N fertiliser treatments on growth, N uptake and yield of oilseed rape, wheat and barley</t>
  </si>
  <si>
    <t>Fate of fertiliser 15N in intensive ridge cultivation with plastic mulching under a monsoon climate</t>
  </si>
  <si>
    <t>Control (without mineral fertilisers)</t>
  </si>
  <si>
    <t>The effect of different forms of nitrogen fertilisers on nitrogen leaching</t>
  </si>
  <si>
    <t>Granular simple NPK fertilisers</t>
  </si>
  <si>
    <t>Liquid fertiliser Lyderis 9-9-9</t>
  </si>
  <si>
    <t>Liquid fertiliser UAN 32</t>
  </si>
  <si>
    <t>Controlled mineralizing acetaldehyde condensation urea (CM-CDU) fertiliser can reduce nitrate leaching and N2O emission from an Andisol with continuous cropped komatsuna (Brassica napa L.)</t>
  </si>
  <si>
    <t>Rice dry matter and nitrogen accumulation, soil mineral N around root and N leaching, with increasing application rates of fertiliser</t>
  </si>
  <si>
    <t>Nitrate leaching in a silage maize field under different irrigation and nitrogen fertiliser rates</t>
  </si>
  <si>
    <t>MIN (mineral fertiliser)</t>
  </si>
  <si>
    <t>MIN + I (mineral fertiliser + nitrification inhibitor)</t>
  </si>
  <si>
    <t>PMS + M (paper mill sludge + mineral fertiliser)</t>
  </si>
  <si>
    <t>Corn yield and nitrate loss in subsurface drainage from midseason nitrogen fertiliser application</t>
  </si>
  <si>
    <t>NT0 (No tillage + no fertiliser)</t>
  </si>
  <si>
    <t>CT0 (Conventional tillage + no fertiliser)</t>
  </si>
  <si>
    <t>NTC (No tillage + compound fertiliser)</t>
  </si>
  <si>
    <t>CTC (Conventional tillage + compound fertiliser)</t>
  </si>
  <si>
    <t>Split-U (fertiliser applied in 2 or 3 applications)</t>
  </si>
  <si>
    <t>fertiliser and irrigation management effects on nitrous oxide emissions and nitrate leaching</t>
  </si>
  <si>
    <t>12 270N (polymer coated urea mixed with starter fertiliser)</t>
  </si>
  <si>
    <t>Nitrate leaching from the Broadbalk Wheat Experiment, Rothamsted, UK, as influenced by fertiliser and manure inputs and the weather</t>
  </si>
  <si>
    <t>Integrated fertiliser and irrigation management to reduce nitrate leaching in Central Spain</t>
  </si>
  <si>
    <t>fertiliser (100N)</t>
  </si>
  <si>
    <t>cycle.completeness.fertiliser</t>
  </si>
  <si>
    <t>cycle.completeness.water</t>
  </si>
  <si>
    <t>cycle.completeness.electricityFuel</t>
  </si>
  <si>
    <t>cycle.completeness.cropResidue</t>
  </si>
  <si>
    <t>cycle.completeness.animalFeed</t>
  </si>
  <si>
    <t>cycle.completeness.material</t>
  </si>
  <si>
    <t>cycle.completeness.waste</t>
  </si>
  <si>
    <t>cycle.completeness.transport</t>
  </si>
  <si>
    <t>cycle.completeness.excreta</t>
  </si>
  <si>
    <t>cycle.defaultMethodClassification</t>
  </si>
  <si>
    <t>cycle.defaultMethodClassificationDescription</t>
  </si>
  <si>
    <t>physical measurement</t>
  </si>
  <si>
    <t>Experimental study which quantified the inputs and products using direct measurement.</t>
  </si>
  <si>
    <t>site.measurements.1.methodClassification</t>
  </si>
  <si>
    <t>on-site physical measurement</t>
  </si>
  <si>
    <t>site.measurements.0.methodClassification</t>
  </si>
  <si>
    <t>site.measurements.2.methodClassification</t>
  </si>
  <si>
    <t>site.measurements.3.methodClassification</t>
  </si>
  <si>
    <t>site.measurements.4.methodClassification</t>
  </si>
  <si>
    <t>site.measurements.5.methodClassification</t>
  </si>
  <si>
    <t>site.measurements.6.methodClassification</t>
  </si>
  <si>
    <t>site.measurements.7.methodClassification</t>
  </si>
  <si>
    <t>site.measurements.8.methodClassification</t>
  </si>
  <si>
    <t>site.measurements.9.methodClassification</t>
  </si>
  <si>
    <t>site.measurements.10.methodClassification</t>
  </si>
  <si>
    <t>site.measurements.11.methodClassification</t>
  </si>
  <si>
    <t>site.measurements.12.methodClassification</t>
  </si>
  <si>
    <t>site.measurements.13.methodClassification</t>
  </si>
  <si>
    <t>site.measurements.14.methodClassification</t>
  </si>
  <si>
    <t>site.measurements.15.methodClassification</t>
  </si>
  <si>
    <t>site.measurements.16.methodClassification</t>
  </si>
  <si>
    <t>site.measurements.17.methodClassification</t>
  </si>
  <si>
    <t>site.measurements.18.methodClassification</t>
  </si>
  <si>
    <t>site.measurements.19.methodClassification</t>
  </si>
  <si>
    <t>site.measurements.20.methodClassification</t>
  </si>
  <si>
    <t>site.measurements.21.methodClassification</t>
  </si>
  <si>
    <t>site.measurements.22.methodClassification</t>
  </si>
  <si>
    <t>site.measurements.23.methodClassification</t>
  </si>
  <si>
    <t>physical measurement on nearby site</t>
  </si>
  <si>
    <t>site.measurements.24.methodClassification</t>
  </si>
  <si>
    <t>site.measurements.4.method.name</t>
  </si>
  <si>
    <t>PK Blend (kg P2O5)</t>
  </si>
  <si>
    <t>PK Blend (kg K2O)</t>
  </si>
  <si>
    <t>Wheat plant</t>
  </si>
  <si>
    <t>Oat, grain</t>
  </si>
  <si>
    <t>Oat, grain; Maize, grain</t>
  </si>
  <si>
    <t>Maize, grain; Spring Wheat, grain; Oat, grain</t>
  </si>
  <si>
    <t>Pea, seed (whole)</t>
  </si>
  <si>
    <t>Peanut, in shell; Rapeseed, seed (whole)</t>
  </si>
  <si>
    <t>Rapeseed, seed (whole)</t>
  </si>
  <si>
    <t>Tomato; Rapeseed, seed (whole)</t>
  </si>
  <si>
    <t>Rapeseed, seed (whole); Maize, grain</t>
  </si>
  <si>
    <t>Ryegrass plant</t>
  </si>
  <si>
    <t>Generic crop, seed</t>
  </si>
  <si>
    <t>Barley, grain (whole)</t>
  </si>
  <si>
    <t>Winter Wheat; Barley, grain (whole); Rapeseed, seed (whole)</t>
  </si>
  <si>
    <t>Spring Oat, grain; Winter Wheat, grain; Spring Barley, grain (whole)</t>
  </si>
  <si>
    <t>Rapeseed, seed (whole); Winter Wheat, grain; Winter Barley, grain (whole)</t>
  </si>
  <si>
    <t>Barley, grain (whole); Potato, tubers</t>
  </si>
  <si>
    <t>Winter Oat, grain; Winter Wheat, grain; Winter Barley, grain (whole); Spring Oat, grain</t>
  </si>
  <si>
    <t>Barley, grain (whole); Soybean, grain; Maize, grain</t>
  </si>
  <si>
    <t>Wheat, grain; Barley, grain (whole)</t>
  </si>
  <si>
    <t>Winter Oat, grain; Winter Wheat, grain; Winter Barley, grain (whole); Fallow</t>
  </si>
  <si>
    <t>Spring Wheat, grain; Spring Barley, grain (whole); Potato, tuber; Oat, grain</t>
  </si>
  <si>
    <t>Oat, grain; Spring Wheat, grain; Barley, grain (whole)</t>
  </si>
  <si>
    <t>Oat, grain; Barley, grain (whole); Fallow</t>
  </si>
  <si>
    <t>Rice, grain (in husk), flooded</t>
  </si>
  <si>
    <t>Radish, root</t>
  </si>
  <si>
    <t>Sweet corn, seed</t>
  </si>
  <si>
    <t>Lettuce, head</t>
  </si>
  <si>
    <t>Komatsuna, head</t>
  </si>
  <si>
    <t>Tobacco, leaf</t>
  </si>
  <si>
    <t>Also includes the stalk.</t>
  </si>
  <si>
    <t>Coffee, fruit</t>
  </si>
  <si>
    <t>Banana, fruit</t>
  </si>
  <si>
    <t>source.originalLicense</t>
  </si>
  <si>
    <t>no public license</t>
  </si>
  <si>
    <t>First cultivation and second cultivation</t>
  </si>
  <si>
    <t>cycle.practices.5.dates</t>
  </si>
  <si>
    <t>9;9;9;9;9;9;9;9</t>
  </si>
  <si>
    <t>3;3;3;3;3;3;3;3</t>
  </si>
  <si>
    <t>20;20;20;20;20;20;20</t>
  </si>
  <si>
    <t>9;9;9;9;9;9;9;9;9;9</t>
  </si>
  <si>
    <t>site.measurements.0.depthUpper</t>
  </si>
  <si>
    <t>site.measurements.0.depthLower</t>
  </si>
  <si>
    <t>cycle.practices.0.value</t>
  </si>
  <si>
    <t>cycle.completeness.soilAmendment</t>
  </si>
  <si>
    <t>cycle.completeness.pesticideVeterinaryDrug</t>
  </si>
  <si>
    <t>cycle.completeness.product</t>
  </si>
  <si>
    <t>cycle.completeness.seed</t>
  </si>
  <si>
    <t>cycle.completeness.liveAnimalInput</t>
  </si>
  <si>
    <t>cycle.completeness.operation</t>
  </si>
  <si>
    <t>cycle.completeness.ingredient</t>
  </si>
  <si>
    <t>cycle.completeness.otherChemical</t>
  </si>
  <si>
    <t>modelled using other measurements</t>
  </si>
  <si>
    <t>cycle.completeness.animalPopulation</t>
  </si>
  <si>
    <t>cycle.completeness.freshForage</t>
  </si>
  <si>
    <t>site.measurements.0.value</t>
  </si>
  <si>
    <t>Source is -Poore and Nemecek (2018)</t>
  </si>
  <si>
    <t>Source is -21</t>
  </si>
  <si>
    <t>Source is -19</t>
  </si>
  <si>
    <t>Source is -26</t>
  </si>
  <si>
    <t>Source is -Bruno et al. (2015)</t>
  </si>
  <si>
    <t>cycle.products.0.properties.1.description</t>
  </si>
  <si>
    <t>Source is -Christensen et al. (2006)</t>
  </si>
  <si>
    <t>Source is -Van Es et al. (2006)</t>
  </si>
  <si>
    <t>Source is -Liedgens et al. (2000)</t>
  </si>
  <si>
    <t>Source is -80</t>
  </si>
  <si>
    <t>Source is -Qi et al. (2011)</t>
  </si>
  <si>
    <t>Source is -20</t>
  </si>
  <si>
    <t>Source is -49</t>
  </si>
  <si>
    <t>Source is -Perillo et al. (1999)</t>
  </si>
  <si>
    <t>Source is -Walters and Malzer (1990a)</t>
  </si>
  <si>
    <t>Source is -11</t>
  </si>
  <si>
    <t>Catch crop</t>
  </si>
  <si>
    <t>site.defaultMethodClassification</t>
  </si>
  <si>
    <t>site.defaultMethodClassificationDescription</t>
  </si>
  <si>
    <t>Experimental study which quantified data using direct measurement.</t>
  </si>
  <si>
    <t>1991-10</t>
  </si>
  <si>
    <t>site.measurements.6.description</t>
  </si>
  <si>
    <t>Depth interval of 0-30 assumed</t>
  </si>
  <si>
    <t>cycle.practices.7.term.name</t>
  </si>
  <si>
    <t>cycle.practices.7.startDate</t>
  </si>
  <si>
    <t>cycle.practices.7.endDate</t>
  </si>
  <si>
    <t>cycle.practices.7.properties.0.term.name</t>
  </si>
  <si>
    <t>cycle.practices.7.properties.0.value</t>
  </si>
  <si>
    <t>cycle.practices.7.value</t>
  </si>
  <si>
    <t>cycle.emissions.0.depthUpper</t>
  </si>
  <si>
    <t>cycle.emissions.0.depthLower</t>
  </si>
  <si>
    <t>cycle.emissions.1.depthUpper</t>
  </si>
  <si>
    <t>cycle.emissions.1.depthLower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</si>
</sst>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yyyy\-mm\-dd;@"/>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9"/>
      <color indexed="81"/>
      <name val="Tahoma"/>
      <family val="2"/>
    </font>
    <font>
      <sz val="9"/>
      <color indexed="81"/>
      <name val="Tahoma"/>
      <family val="2"/>
    </font>
    <font>
      <sz val="11"/>
      <color theme="0" tint="-0.34998626667073579"/>
      <name val="Calibri"/>
      <family val="2"/>
      <scheme val="minor"/>
    </font>
    <font>
      <sz val="9"/>
      <color theme="1"/>
      <name val="Calibri"/>
      <family val="2"/>
      <scheme val="minor"/>
    </font>
    <font>
      <sz val="8"/>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DDDD"/>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bgColor indexed="64"/>
      </patternFill>
    </fill>
    <fill>
      <patternFill patternType="solid">
        <fgColor rgb="FF00B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8" fillId="34" borderId="0" applyNumberFormat="0" applyBorder="0" applyAlignment="0" applyProtection="0">
      <alignment horizontal="right"/>
    </xf>
  </cellStyleXfs>
  <cellXfs count="40">
    <xf numFmtId="0" fontId="0" fillId="0" borderId="0" xfId="0"/>
    <xf numFmtId="164" fontId="0" fillId="0" borderId="0" xfId="0" applyNumberFormat="1" applyAlignment="1">
      <alignment horizontal="right"/>
    </xf>
    <xf numFmtId="0" fontId="16" fillId="0" borderId="0" xfId="0" applyFont="1" applyAlignment="1">
      <alignment wrapText="1"/>
    </xf>
    <xf numFmtId="0" fontId="0" fillId="0" borderId="0" xfId="0" applyAlignment="1">
      <alignment horizontal="right"/>
    </xf>
    <xf numFmtId="1" fontId="0" fillId="0" borderId="0" xfId="0" applyNumberFormat="1" applyAlignment="1">
      <alignment horizontal="right"/>
    </xf>
    <xf numFmtId="1" fontId="0" fillId="0" borderId="0" xfId="0" applyNumberFormat="1" applyAlignment="1">
      <alignment horizontal="left"/>
    </xf>
    <xf numFmtId="164" fontId="14" fillId="33" borderId="0" xfId="0" applyNumberFormat="1" applyFont="1" applyFill="1" applyAlignment="1">
      <alignment horizontal="right"/>
    </xf>
    <xf numFmtId="164" fontId="18" fillId="0" borderId="0" xfId="42" applyNumberFormat="1" applyFill="1" applyAlignment="1">
      <alignment horizontal="right"/>
    </xf>
    <xf numFmtId="164" fontId="0" fillId="33" borderId="0" xfId="0" applyNumberFormat="1" applyFill="1" applyAlignment="1">
      <alignment horizontal="right"/>
    </xf>
    <xf numFmtId="2" fontId="0" fillId="0" borderId="0" xfId="0" applyNumberFormat="1" applyAlignment="1">
      <alignment horizontal="left"/>
    </xf>
    <xf numFmtId="0" fontId="0" fillId="0" borderId="0" xfId="0" applyAlignment="1">
      <alignment horizontal="left"/>
    </xf>
    <xf numFmtId="164" fontId="0" fillId="0" borderId="0" xfId="0" applyNumberFormat="1" applyAlignment="1">
      <alignment horizontal="left"/>
    </xf>
    <xf numFmtId="0" fontId="18" fillId="0" borderId="0" xfId="0" applyFont="1" applyAlignment="1">
      <alignment horizontal="left"/>
    </xf>
    <xf numFmtId="1" fontId="18" fillId="34" borderId="0" xfId="42" applyNumberFormat="1" applyAlignment="1"/>
    <xf numFmtId="1" fontId="18" fillId="34" borderId="0" xfId="42" applyNumberFormat="1" applyAlignment="1">
      <alignment horizontal="right"/>
    </xf>
    <xf numFmtId="1" fontId="0" fillId="33" borderId="0" xfId="0" applyNumberFormat="1" applyFill="1" applyAlignment="1">
      <alignment horizontal="right"/>
    </xf>
    <xf numFmtId="1" fontId="21" fillId="0" borderId="0" xfId="0" applyNumberFormat="1" applyFont="1" applyAlignment="1">
      <alignment horizontal="right"/>
    </xf>
    <xf numFmtId="1" fontId="0" fillId="36" borderId="0" xfId="0" applyNumberFormat="1" applyFill="1" applyAlignment="1">
      <alignment horizontal="right"/>
    </xf>
    <xf numFmtId="0" fontId="16" fillId="35" borderId="0" xfId="0" applyFont="1" applyFill="1" applyAlignment="1">
      <alignment wrapText="1"/>
    </xf>
    <xf numFmtId="49" fontId="0" fillId="0" borderId="0" xfId="0" applyNumberFormat="1" applyAlignment="1">
      <alignment horizontal="center"/>
    </xf>
    <xf numFmtId="49" fontId="0" fillId="0" borderId="0" xfId="0" applyNumberFormat="1" applyAlignment="1">
      <alignment horizontal="left"/>
    </xf>
    <xf numFmtId="1" fontId="0" fillId="0" borderId="0" xfId="0" quotePrefix="1" applyNumberFormat="1" applyAlignment="1">
      <alignment horizontal="right"/>
    </xf>
    <xf numFmtId="1" fontId="0" fillId="0" borderId="0" xfId="0" quotePrefix="1" applyNumberFormat="1" applyAlignment="1">
      <alignment horizontal="left"/>
    </xf>
    <xf numFmtId="49" fontId="0" fillId="0" borderId="0" xfId="0" applyNumberFormat="1" applyAlignment="1">
      <alignment horizontal="right"/>
    </xf>
    <xf numFmtId="49" fontId="0" fillId="0" borderId="0" xfId="0" applyNumberFormat="1"/>
    <xf numFmtId="49" fontId="0" fillId="37" borderId="0" xfId="0" applyNumberFormat="1" applyFill="1"/>
    <xf numFmtId="0" fontId="0" fillId="37" borderId="0" xfId="0" applyFill="1"/>
    <xf numFmtId="2" fontId="0" fillId="0" borderId="0" xfId="0" applyNumberFormat="1"/>
    <xf numFmtId="164" fontId="0" fillId="0" borderId="0" xfId="0" applyNumberFormat="1"/>
    <xf numFmtId="164" fontId="0" fillId="33" borderId="0" xfId="0" applyNumberFormat="1" applyFill="1"/>
    <xf numFmtId="166" fontId="0" fillId="0" borderId="0" xfId="0" applyNumberFormat="1"/>
    <xf numFmtId="0" fontId="22" fillId="0" borderId="0" xfId="0" applyFont="1"/>
    <xf numFmtId="0" fontId="0" fillId="0" borderId="0" xfId="0" quotePrefix="1"/>
    <xf numFmtId="14" fontId="0" fillId="0" borderId="0" xfId="0" quotePrefix="1" applyNumberFormat="1"/>
    <xf numFmtId="1" fontId="0" fillId="0" borderId="0" xfId="0" applyNumberFormat="1"/>
    <xf numFmtId="0" fontId="18" fillId="0" borderId="0" xfId="0" applyFont="1"/>
    <xf numFmtId="0" fontId="14" fillId="37" borderId="0" xfId="0" applyFont="1" applyFill="1"/>
    <xf numFmtId="0" fontId="0" fillId="38" borderId="0" xfId="0" applyFill="1"/>
    <xf numFmtId="0" fontId="0" fillId="39" borderId="0" xfId="0" applyFill="1"/>
    <xf numFmtId="0" fontId="21"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Validate" xfId="42" xr:uid="{51DCB35C-8FE7-47C0-AC43-3D19F2BA758A}"/>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sep/Dropbox/In%20Progress%20-%20Nitrate%20Leaching/LEACHING/160105%20Leaching%20File%20v38%20-%20SIMPLE%20FOR%20L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able"/>
      <sheetName val="Assumptions"/>
      <sheetName val="References"/>
      <sheetName val="Pasture"/>
    </sheetNames>
    <sheetDataSet>
      <sheetData sheetId="0"/>
      <sheetData sheetId="1">
        <row r="4">
          <cell r="D4">
            <v>1.1208499999999999</v>
          </cell>
        </row>
      </sheetData>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Joseph Poore" id="{A30AD1F3-BB86-4145-9EE3-7C80872211E2}" userId="3748b27b792ae3b8" providerId="Windows Liv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G1" dT="2024-10-11T15:44:53.95" personId="{A30AD1F3-BB86-4145-9EE3-7C80872211E2}" id="{54AFA7E4-F9CF-4947-BE82-2565D9FD8FAC}">
    <text>Deleted this as the term “Previous product” was removed. Need to add these data back using land cover.</text>
  </threadedComment>
  <threadedComment ref="JH1" dT="2024-10-11T15:45:07.35" personId="{A30AD1F3-BB86-4145-9EE3-7C80872211E2}" id="{C597807D-5AF5-48B8-991D-A113FC3E6A21}">
    <text>Deleted this as the term “Previous product” was removed. Need to add these data back using land cover.</text>
  </threadedComment>
  <threadedComment ref="BZ269" dT="2023-08-23T12:13:08.14" personId="{A30AD1F3-BB86-4145-9EE3-7C80872211E2}" id="{7EC37F35-EB47-4E50-9B97-936495DB475F}">
    <text>Need to use new term Sweet corn, ear</text>
  </threadedComment>
  <threadedComment ref="BZ270" dT="2023-08-23T12:13:08.14" personId="{A30AD1F3-BB86-4145-9EE3-7C80872211E2}" id="{81130EFD-C98C-40D2-9DBF-0328EC7CEA1B}">
    <text>Need to use new term Sweet corn, ear</text>
  </threadedComment>
  <threadedComment ref="BZ271" dT="2023-08-23T12:13:08.14" personId="{A30AD1F3-BB86-4145-9EE3-7C80872211E2}" id="{3E450519-39D1-4730-9B3B-7FB1693CCE12}">
    <text>Need to use new term Sweet corn, ear</text>
  </threadedComment>
  <threadedComment ref="BZ272" dT="2023-08-23T12:13:08.14" personId="{A30AD1F3-BB86-4145-9EE3-7C80872211E2}" id="{EDC1C27C-CF88-4456-8C35-1F4C83A2F929}">
    <text>Need to use new term Sweet corn, ear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ite.region.@id"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K599"/>
  <sheetViews>
    <sheetView tabSelected="1" zoomScale="70" zoomScaleNormal="70" workbookViewId="0">
      <pane xSplit="4" ySplit="1" topLeftCell="JR2" activePane="bottomRight" state="frozen"/>
      <selection pane="topRight" activeCell="D1" sqref="D1"/>
      <selection pane="bottomLeft" activeCell="A2" sqref="A2"/>
      <selection pane="bottomRight" activeCell="JS1" sqref="JS1"/>
    </sheetView>
  </sheetViews>
  <sheetFormatPr baseColWidth="10" defaultColWidth="8.83203125" defaultRowHeight="15" x14ac:dyDescent="0.2"/>
  <cols>
    <col min="3" max="3" width="18.6640625" customWidth="1"/>
    <col min="4" max="4" width="19.6640625" customWidth="1"/>
    <col min="5" max="297" width="10.83203125" customWidth="1"/>
  </cols>
  <sheetData>
    <row r="1" spans="1:297" ht="64" x14ac:dyDescent="0.2">
      <c r="A1" s="2" t="s">
        <v>0</v>
      </c>
      <c r="B1" s="2" t="s">
        <v>1062</v>
      </c>
      <c r="C1" s="2" t="s">
        <v>739</v>
      </c>
      <c r="D1" s="2" t="s">
        <v>1</v>
      </c>
      <c r="E1" s="2" t="s">
        <v>1070</v>
      </c>
      <c r="F1" s="2" t="s">
        <v>1071</v>
      </c>
      <c r="G1" s="2" t="s">
        <v>1</v>
      </c>
      <c r="H1" s="2" t="s">
        <v>1419</v>
      </c>
      <c r="I1" s="2" t="s">
        <v>1072</v>
      </c>
      <c r="J1" s="2" t="s">
        <v>1073</v>
      </c>
      <c r="K1" s="2" t="s">
        <v>1074</v>
      </c>
      <c r="L1" s="2" t="s">
        <v>1075</v>
      </c>
      <c r="M1" s="2" t="s">
        <v>1076</v>
      </c>
      <c r="N1" s="2" t="s">
        <v>1077</v>
      </c>
      <c r="O1" s="2" t="s">
        <v>1078</v>
      </c>
      <c r="P1" s="2" t="s">
        <v>1079</v>
      </c>
      <c r="Q1" s="2" t="s">
        <v>1080</v>
      </c>
      <c r="R1" s="2" t="s">
        <v>1081</v>
      </c>
      <c r="S1" s="2" t="s">
        <v>1082</v>
      </c>
      <c r="T1" s="2" t="s">
        <v>1083</v>
      </c>
      <c r="U1" s="2" t="s">
        <v>1084</v>
      </c>
      <c r="V1" s="2" t="s">
        <v>1085</v>
      </c>
      <c r="W1" s="2" t="s">
        <v>1086</v>
      </c>
      <c r="X1" s="2" t="s">
        <v>1087</v>
      </c>
      <c r="Y1" s="2" t="s">
        <v>1088</v>
      </c>
      <c r="Z1" s="2" t="s">
        <v>1089</v>
      </c>
      <c r="AA1" s="2" t="s">
        <v>1090</v>
      </c>
      <c r="AB1" s="2" t="s">
        <v>1091</v>
      </c>
      <c r="AC1" s="2" t="s">
        <v>1092</v>
      </c>
      <c r="AD1" s="2" t="s">
        <v>1093</v>
      </c>
      <c r="AE1" s="2" t="s">
        <v>1094</v>
      </c>
      <c r="AF1" s="2" t="s">
        <v>1095</v>
      </c>
      <c r="AG1" s="2" t="s">
        <v>1096</v>
      </c>
      <c r="AH1" s="2" t="s">
        <v>1097</v>
      </c>
      <c r="AI1" s="2" t="s">
        <v>1098</v>
      </c>
      <c r="AJ1" s="2" t="s">
        <v>1099</v>
      </c>
      <c r="AK1" s="2" t="s">
        <v>1100</v>
      </c>
      <c r="AL1" s="2" t="s">
        <v>1101</v>
      </c>
      <c r="AM1" s="2" t="s">
        <v>1102</v>
      </c>
      <c r="AN1" s="2" t="s">
        <v>1103</v>
      </c>
      <c r="AO1" s="2" t="s">
        <v>1104</v>
      </c>
      <c r="AP1" s="2" t="s">
        <v>1105</v>
      </c>
      <c r="AQ1" s="2" t="s">
        <v>1106</v>
      </c>
      <c r="AR1" s="2" t="s">
        <v>1353</v>
      </c>
      <c r="AS1" s="2" t="s">
        <v>1354</v>
      </c>
      <c r="AT1" s="2" t="s">
        <v>1107</v>
      </c>
      <c r="AU1" s="2" t="s">
        <v>1108</v>
      </c>
      <c r="AV1" s="2" t="s">
        <v>1109</v>
      </c>
      <c r="AW1" s="2" t="s">
        <v>1110</v>
      </c>
      <c r="AX1" s="2" t="s">
        <v>1111</v>
      </c>
      <c r="AY1" s="2" t="s">
        <v>1112</v>
      </c>
      <c r="AZ1" s="2" t="s">
        <v>1113</v>
      </c>
      <c r="BA1" s="2" t="s">
        <v>1114</v>
      </c>
      <c r="BB1" s="2" t="s">
        <v>1459</v>
      </c>
      <c r="BC1" s="2" t="s">
        <v>1460</v>
      </c>
      <c r="BD1" s="2" t="s">
        <v>1115</v>
      </c>
      <c r="BE1" s="2" t="s">
        <v>1116</v>
      </c>
      <c r="BF1" s="2" t="s">
        <v>1117</v>
      </c>
      <c r="BG1" s="2" t="s">
        <v>1344</v>
      </c>
      <c r="BH1" s="2" t="s">
        <v>1430</v>
      </c>
      <c r="BI1" s="2" t="s">
        <v>1431</v>
      </c>
      <c r="BJ1" s="2" t="s">
        <v>1345</v>
      </c>
      <c r="BK1" s="2" t="s">
        <v>1346</v>
      </c>
      <c r="BL1" s="2" t="s">
        <v>1432</v>
      </c>
      <c r="BM1" s="2" t="s">
        <v>1347</v>
      </c>
      <c r="BN1" s="2" t="s">
        <v>1352</v>
      </c>
      <c r="BO1" s="2" t="s">
        <v>1433</v>
      </c>
      <c r="BP1" s="2" t="s">
        <v>1349</v>
      </c>
      <c r="BQ1" s="2" t="s">
        <v>1350</v>
      </c>
      <c r="BR1" s="2" t="s">
        <v>1351</v>
      </c>
      <c r="BS1" s="2" t="s">
        <v>1434</v>
      </c>
      <c r="BT1" s="2" t="s">
        <v>1348</v>
      </c>
      <c r="BU1" s="2" t="s">
        <v>1439</v>
      </c>
      <c r="BV1" s="2" t="s">
        <v>1440</v>
      </c>
      <c r="BW1" s="2" t="s">
        <v>1436</v>
      </c>
      <c r="BX1" s="2" t="s">
        <v>1437</v>
      </c>
      <c r="BY1" s="2" t="s">
        <v>1435</v>
      </c>
      <c r="BZ1" s="2" t="s">
        <v>1118</v>
      </c>
      <c r="CA1" s="2" t="s">
        <v>1119</v>
      </c>
      <c r="CB1" s="2" t="s">
        <v>1120</v>
      </c>
      <c r="CC1" s="2" t="s">
        <v>1121</v>
      </c>
      <c r="CD1" s="2" t="s">
        <v>1122</v>
      </c>
      <c r="CE1" s="2" t="s">
        <v>1123</v>
      </c>
      <c r="CF1" s="2" t="s">
        <v>1124</v>
      </c>
      <c r="CG1" s="2" t="s">
        <v>1125</v>
      </c>
      <c r="CH1" s="2" t="s">
        <v>1126</v>
      </c>
      <c r="CI1" s="2" t="s">
        <v>1127</v>
      </c>
      <c r="CJ1" s="2" t="s">
        <v>1447</v>
      </c>
      <c r="CK1" s="2" t="s">
        <v>1128</v>
      </c>
      <c r="CL1" s="2" t="s">
        <v>1129</v>
      </c>
      <c r="CM1" s="2" t="s">
        <v>1130</v>
      </c>
      <c r="CN1" s="2" t="s">
        <v>1131</v>
      </c>
      <c r="CO1" s="2" t="s">
        <v>1132</v>
      </c>
      <c r="CP1" s="2" t="s">
        <v>1465</v>
      </c>
      <c r="CQ1" s="2" t="s">
        <v>1466</v>
      </c>
      <c r="CR1" s="2" t="s">
        <v>1467</v>
      </c>
      <c r="CS1" s="2" t="s">
        <v>1470</v>
      </c>
      <c r="CT1" s="2" t="s">
        <v>1468</v>
      </c>
      <c r="CU1" s="2" t="s">
        <v>1469</v>
      </c>
      <c r="CV1" s="18" t="s">
        <v>1133</v>
      </c>
      <c r="CW1" s="18" t="s">
        <v>1441</v>
      </c>
      <c r="CX1" s="18" t="s">
        <v>1427</v>
      </c>
      <c r="CY1" s="18" t="s">
        <v>1428</v>
      </c>
      <c r="CZ1" s="18" t="s">
        <v>1359</v>
      </c>
      <c r="DA1" s="18" t="s">
        <v>1134</v>
      </c>
      <c r="DB1" s="18" t="s">
        <v>1135</v>
      </c>
      <c r="DC1" s="18" t="s">
        <v>1136</v>
      </c>
      <c r="DD1" s="18" t="s">
        <v>1137</v>
      </c>
      <c r="DE1" s="18" t="s">
        <v>1357</v>
      </c>
      <c r="DF1" s="18" t="s">
        <v>1138</v>
      </c>
      <c r="DG1" s="18" t="s">
        <v>1139</v>
      </c>
      <c r="DH1" s="18" t="s">
        <v>1140</v>
      </c>
      <c r="DI1" s="18" t="s">
        <v>1141</v>
      </c>
      <c r="DJ1" s="18" t="s">
        <v>1360</v>
      </c>
      <c r="DK1" s="18" t="s">
        <v>1142</v>
      </c>
      <c r="DL1" s="18" t="s">
        <v>1143</v>
      </c>
      <c r="DM1" s="18" t="s">
        <v>1144</v>
      </c>
      <c r="DN1" s="18" t="s">
        <v>1145</v>
      </c>
      <c r="DO1" s="18" t="s">
        <v>1361</v>
      </c>
      <c r="DP1" s="18" t="s">
        <v>1146</v>
      </c>
      <c r="DQ1" s="18" t="s">
        <v>1384</v>
      </c>
      <c r="DR1" s="18" t="s">
        <v>1147</v>
      </c>
      <c r="DS1" s="18" t="s">
        <v>1148</v>
      </c>
      <c r="DT1" s="18" t="s">
        <v>1149</v>
      </c>
      <c r="DU1" s="18" t="s">
        <v>1362</v>
      </c>
      <c r="DV1" s="18" t="s">
        <v>1150</v>
      </c>
      <c r="DW1" s="18" t="s">
        <v>1151</v>
      </c>
      <c r="DX1" s="18" t="s">
        <v>1152</v>
      </c>
      <c r="DY1" s="18" t="s">
        <v>1153</v>
      </c>
      <c r="DZ1" s="18" t="s">
        <v>1363</v>
      </c>
      <c r="EA1" s="18" t="s">
        <v>1154</v>
      </c>
      <c r="EB1" s="18" t="s">
        <v>1155</v>
      </c>
      <c r="EC1" s="18" t="s">
        <v>1156</v>
      </c>
      <c r="ED1" s="18" t="s">
        <v>1157</v>
      </c>
      <c r="EE1" s="18" t="s">
        <v>1364</v>
      </c>
      <c r="EF1" s="18" t="s">
        <v>1463</v>
      </c>
      <c r="EG1" s="18" t="s">
        <v>1158</v>
      </c>
      <c r="EH1" s="18" t="s">
        <v>1159</v>
      </c>
      <c r="EI1" s="18" t="s">
        <v>1160</v>
      </c>
      <c r="EJ1" s="18" t="s">
        <v>1161</v>
      </c>
      <c r="EK1" s="18" t="s">
        <v>1365</v>
      </c>
      <c r="EL1" s="18" t="s">
        <v>1162</v>
      </c>
      <c r="EM1" s="18" t="s">
        <v>1163</v>
      </c>
      <c r="EN1" s="18" t="s">
        <v>1164</v>
      </c>
      <c r="EO1" s="18" t="s">
        <v>1165</v>
      </c>
      <c r="EP1" s="18" t="s">
        <v>1366</v>
      </c>
      <c r="EQ1" s="18" t="s">
        <v>1166</v>
      </c>
      <c r="ER1" s="18" t="s">
        <v>1167</v>
      </c>
      <c r="ES1" s="18" t="s">
        <v>1168</v>
      </c>
      <c r="ET1" s="18" t="s">
        <v>1169</v>
      </c>
      <c r="EU1" s="18" t="s">
        <v>1367</v>
      </c>
      <c r="EV1" s="18" t="s">
        <v>1170</v>
      </c>
      <c r="EW1" s="18" t="s">
        <v>1171</v>
      </c>
      <c r="EX1" s="18" t="s">
        <v>1172</v>
      </c>
      <c r="EY1" s="18" t="s">
        <v>1173</v>
      </c>
      <c r="EZ1" s="18" t="s">
        <v>1368</v>
      </c>
      <c r="FA1" s="18" t="s">
        <v>1174</v>
      </c>
      <c r="FB1" s="18" t="s">
        <v>1175</v>
      </c>
      <c r="FC1" s="18" t="s">
        <v>1176</v>
      </c>
      <c r="FD1" s="18" t="s">
        <v>1177</v>
      </c>
      <c r="FE1" s="18" t="s">
        <v>1369</v>
      </c>
      <c r="FF1" s="18" t="s">
        <v>1178</v>
      </c>
      <c r="FG1" s="18" t="s">
        <v>1179</v>
      </c>
      <c r="FH1" s="18" t="s">
        <v>1180</v>
      </c>
      <c r="FI1" s="18" t="s">
        <v>1181</v>
      </c>
      <c r="FJ1" s="18" t="s">
        <v>1370</v>
      </c>
      <c r="FK1" s="18" t="s">
        <v>1182</v>
      </c>
      <c r="FL1" s="18" t="s">
        <v>1183</v>
      </c>
      <c r="FM1" s="18" t="s">
        <v>1184</v>
      </c>
      <c r="FN1" s="18" t="s">
        <v>1185</v>
      </c>
      <c r="FO1" s="18" t="s">
        <v>1371</v>
      </c>
      <c r="FP1" s="18" t="s">
        <v>1186</v>
      </c>
      <c r="FQ1" s="18" t="s">
        <v>1187</v>
      </c>
      <c r="FR1" s="18" t="s">
        <v>1188</v>
      </c>
      <c r="FS1" s="18" t="s">
        <v>1189</v>
      </c>
      <c r="FT1" s="18" t="s">
        <v>1372</v>
      </c>
      <c r="FU1" s="18" t="s">
        <v>1190</v>
      </c>
      <c r="FV1" s="18" t="s">
        <v>1191</v>
      </c>
      <c r="FW1" s="18" t="s">
        <v>1192</v>
      </c>
      <c r="FX1" s="18" t="s">
        <v>1193</v>
      </c>
      <c r="FY1" s="18" t="s">
        <v>1373</v>
      </c>
      <c r="FZ1" s="18" t="s">
        <v>1194</v>
      </c>
      <c r="GA1" s="18" t="s">
        <v>1195</v>
      </c>
      <c r="GB1" s="18" t="s">
        <v>1196</v>
      </c>
      <c r="GC1" s="18" t="s">
        <v>1197</v>
      </c>
      <c r="GD1" s="18" t="s">
        <v>1198</v>
      </c>
      <c r="GE1" s="18" t="s">
        <v>1374</v>
      </c>
      <c r="GF1" s="18" t="s">
        <v>1199</v>
      </c>
      <c r="GG1" s="18" t="s">
        <v>1200</v>
      </c>
      <c r="GH1" s="18" t="s">
        <v>1201</v>
      </c>
      <c r="GI1" s="18" t="s">
        <v>1202</v>
      </c>
      <c r="GJ1" s="18" t="s">
        <v>1203</v>
      </c>
      <c r="GK1" s="18" t="s">
        <v>1375</v>
      </c>
      <c r="GL1" s="18" t="s">
        <v>1204</v>
      </c>
      <c r="GM1" s="18" t="s">
        <v>1205</v>
      </c>
      <c r="GN1" s="18" t="s">
        <v>1206</v>
      </c>
      <c r="GO1" s="18" t="s">
        <v>1207</v>
      </c>
      <c r="GP1" s="18" t="s">
        <v>1376</v>
      </c>
      <c r="GQ1" s="18" t="s">
        <v>1208</v>
      </c>
      <c r="GR1" s="18" t="s">
        <v>1209</v>
      </c>
      <c r="GS1" s="18" t="s">
        <v>1210</v>
      </c>
      <c r="GT1" s="18" t="s">
        <v>1377</v>
      </c>
      <c r="GU1" s="18" t="s">
        <v>1211</v>
      </c>
      <c r="GV1" s="18" t="s">
        <v>1212</v>
      </c>
      <c r="GW1" s="18" t="s">
        <v>1213</v>
      </c>
      <c r="GX1" s="18" t="s">
        <v>1214</v>
      </c>
      <c r="GY1" s="18" t="s">
        <v>1215</v>
      </c>
      <c r="GZ1" s="18" t="s">
        <v>1378</v>
      </c>
      <c r="HA1" s="18" t="s">
        <v>1216</v>
      </c>
      <c r="HB1" s="18" t="s">
        <v>1217</v>
      </c>
      <c r="HC1" s="18" t="s">
        <v>1218</v>
      </c>
      <c r="HD1" s="18" t="s">
        <v>1219</v>
      </c>
      <c r="HE1" s="18" t="s">
        <v>1379</v>
      </c>
      <c r="HF1" s="18" t="s">
        <v>1220</v>
      </c>
      <c r="HG1" s="18" t="s">
        <v>1221</v>
      </c>
      <c r="HH1" s="18" t="s">
        <v>1222</v>
      </c>
      <c r="HI1" s="18" t="s">
        <v>1223</v>
      </c>
      <c r="HJ1" s="18" t="s">
        <v>1380</v>
      </c>
      <c r="HK1" s="18" t="s">
        <v>1224</v>
      </c>
      <c r="HL1" s="18" t="s">
        <v>1225</v>
      </c>
      <c r="HM1" s="18" t="s">
        <v>1226</v>
      </c>
      <c r="HN1" s="18" t="s">
        <v>1227</v>
      </c>
      <c r="HO1" s="18" t="s">
        <v>1228</v>
      </c>
      <c r="HP1" s="18" t="s">
        <v>1381</v>
      </c>
      <c r="HQ1" s="18" t="s">
        <v>1229</v>
      </c>
      <c r="HR1" s="18" t="s">
        <v>1230</v>
      </c>
      <c r="HS1" s="18" t="s">
        <v>1231</v>
      </c>
      <c r="HT1" s="18" t="s">
        <v>1232</v>
      </c>
      <c r="HU1" s="18" t="s">
        <v>1233</v>
      </c>
      <c r="HV1" s="18" t="s">
        <v>1383</v>
      </c>
      <c r="HW1" s="2" t="s">
        <v>1234</v>
      </c>
      <c r="HX1" s="2" t="s">
        <v>1235</v>
      </c>
      <c r="HY1" s="2" t="s">
        <v>1236</v>
      </c>
      <c r="HZ1" s="2" t="s">
        <v>1237</v>
      </c>
      <c r="IA1" s="2" t="s">
        <v>1238</v>
      </c>
      <c r="IB1" s="2" t="s">
        <v>1239</v>
      </c>
      <c r="IC1" s="2" t="s">
        <v>1240</v>
      </c>
      <c r="ID1" s="2" t="s">
        <v>1241</v>
      </c>
      <c r="IE1" s="2" t="s">
        <v>1242</v>
      </c>
      <c r="IF1" s="2" t="s">
        <v>1243</v>
      </c>
      <c r="IG1" s="2" t="s">
        <v>1244</v>
      </c>
      <c r="IH1" s="2" t="s">
        <v>1245</v>
      </c>
      <c r="II1" s="2" t="s">
        <v>1246</v>
      </c>
      <c r="IJ1" s="2" t="s">
        <v>1247</v>
      </c>
      <c r="IK1" s="2" t="s">
        <v>1248</v>
      </c>
      <c r="IL1" s="2" t="s">
        <v>1249</v>
      </c>
      <c r="IM1" s="2" t="s">
        <v>1250</v>
      </c>
      <c r="IN1" s="2" t="s">
        <v>1251</v>
      </c>
      <c r="IO1" s="2" t="s">
        <v>1252</v>
      </c>
      <c r="IP1" s="2" t="s">
        <v>1253</v>
      </c>
      <c r="IQ1" s="2" t="s">
        <v>1254</v>
      </c>
      <c r="IR1" s="2" t="s">
        <v>1255</v>
      </c>
      <c r="IS1" s="2" t="s">
        <v>1256</v>
      </c>
      <c r="IT1" s="2" t="s">
        <v>1257</v>
      </c>
      <c r="IU1" s="2" t="s">
        <v>1292</v>
      </c>
      <c r="IV1" s="2" t="s">
        <v>1294</v>
      </c>
      <c r="IW1" s="2" t="s">
        <v>1258</v>
      </c>
      <c r="IX1" s="2" t="s">
        <v>1259</v>
      </c>
      <c r="IY1" s="2" t="s">
        <v>1260</v>
      </c>
      <c r="IZ1" s="2" t="s">
        <v>1261</v>
      </c>
      <c r="JA1" s="2" t="s">
        <v>1262</v>
      </c>
      <c r="JB1" s="2" t="s">
        <v>1263</v>
      </c>
      <c r="JC1" s="2" t="s">
        <v>1264</v>
      </c>
      <c r="JD1" s="2" t="s">
        <v>1265</v>
      </c>
      <c r="JE1" s="2" t="s">
        <v>1266</v>
      </c>
      <c r="JF1" s="2" t="s">
        <v>1429</v>
      </c>
      <c r="JG1" s="2" t="s">
        <v>1</v>
      </c>
      <c r="JH1" s="2" t="s">
        <v>1</v>
      </c>
      <c r="JI1" s="2" t="s">
        <v>1267</v>
      </c>
      <c r="JJ1" s="2" t="s">
        <v>1268</v>
      </c>
      <c r="JK1" s="2" t="s">
        <v>1269</v>
      </c>
      <c r="JL1" s="2" t="s">
        <v>1270</v>
      </c>
      <c r="JM1" s="2" t="s">
        <v>1271</v>
      </c>
      <c r="JN1" s="2" t="s">
        <v>1272</v>
      </c>
      <c r="JO1" s="2" t="s">
        <v>1422</v>
      </c>
      <c r="JP1" s="2" t="s">
        <v>1273</v>
      </c>
      <c r="JQ1" s="2" t="s">
        <v>1274</v>
      </c>
      <c r="JR1" s="2" t="s">
        <v>1275</v>
      </c>
      <c r="JS1" s="2" t="s">
        <v>1276</v>
      </c>
      <c r="JT1" s="2" t="s">
        <v>1277</v>
      </c>
      <c r="JU1" s="2" t="s">
        <v>1278</v>
      </c>
      <c r="JV1" s="2" t="s">
        <v>1279</v>
      </c>
      <c r="JW1" s="2" t="s">
        <v>1280</v>
      </c>
      <c r="JX1" s="2" t="s">
        <v>1471</v>
      </c>
      <c r="JY1" s="2" t="s">
        <v>1472</v>
      </c>
      <c r="JZ1" s="2" t="s">
        <v>1281</v>
      </c>
      <c r="KA1" s="2" t="s">
        <v>1282</v>
      </c>
      <c r="KB1" s="2" t="s">
        <v>1283</v>
      </c>
      <c r="KC1" s="2" t="s">
        <v>1284</v>
      </c>
      <c r="KD1" s="2" t="s">
        <v>1285</v>
      </c>
      <c r="KE1" s="2" t="s">
        <v>1286</v>
      </c>
      <c r="KF1" s="2" t="s">
        <v>1287</v>
      </c>
      <c r="KG1" s="2" t="s">
        <v>1473</v>
      </c>
      <c r="KH1" s="2" t="s">
        <v>1474</v>
      </c>
      <c r="KI1" s="2" t="s">
        <v>1288</v>
      </c>
      <c r="KJ1" s="2" t="s">
        <v>1289</v>
      </c>
      <c r="KK1" s="2" t="s">
        <v>1290</v>
      </c>
    </row>
    <row r="2" spans="1:297" x14ac:dyDescent="0.2">
      <c r="A2">
        <v>1</v>
      </c>
      <c r="B2" t="s">
        <v>705</v>
      </c>
      <c r="C2" t="s">
        <v>4</v>
      </c>
      <c r="D2" t="s">
        <v>2</v>
      </c>
      <c r="E2">
        <v>1</v>
      </c>
      <c r="F2" t="s">
        <v>3</v>
      </c>
      <c r="G2" t="s">
        <v>1</v>
      </c>
      <c r="H2" t="s">
        <v>1420</v>
      </c>
      <c r="I2" t="s">
        <v>1</v>
      </c>
      <c r="J2" t="s">
        <v>1</v>
      </c>
      <c r="K2" t="s">
        <v>1</v>
      </c>
      <c r="L2" t="s">
        <v>1</v>
      </c>
      <c r="M2" t="s">
        <v>1</v>
      </c>
      <c r="N2" t="s">
        <v>1</v>
      </c>
      <c r="O2" t="s">
        <v>1</v>
      </c>
      <c r="P2" t="s">
        <v>1</v>
      </c>
      <c r="Q2" t="s">
        <v>1</v>
      </c>
      <c r="R2" t="s">
        <v>1</v>
      </c>
      <c r="S2" t="s">
        <v>1</v>
      </c>
      <c r="T2" t="s">
        <v>1</v>
      </c>
      <c r="U2" t="s">
        <v>1</v>
      </c>
      <c r="V2" t="s">
        <v>1</v>
      </c>
      <c r="W2" t="s">
        <v>1</v>
      </c>
      <c r="X2" t="s">
        <v>1</v>
      </c>
      <c r="Y2" t="s">
        <v>1</v>
      </c>
      <c r="Z2" t="s">
        <v>1</v>
      </c>
      <c r="AA2" t="s">
        <v>1</v>
      </c>
      <c r="AB2" t="s">
        <v>1</v>
      </c>
      <c r="AC2" t="s">
        <v>1</v>
      </c>
      <c r="AD2" t="s">
        <v>1</v>
      </c>
      <c r="AE2" t="s">
        <v>1</v>
      </c>
      <c r="AF2" t="s">
        <v>1</v>
      </c>
      <c r="AG2" t="s">
        <v>1</v>
      </c>
      <c r="AH2" t="s">
        <v>1</v>
      </c>
      <c r="AI2" t="s">
        <v>1</v>
      </c>
      <c r="AJ2" t="s">
        <v>1</v>
      </c>
      <c r="AK2" t="s">
        <v>1</v>
      </c>
      <c r="AL2" t="s">
        <v>1</v>
      </c>
      <c r="AM2" t="s">
        <v>1</v>
      </c>
      <c r="AN2">
        <v>1</v>
      </c>
      <c r="AO2">
        <f>AN2</f>
        <v>1</v>
      </c>
      <c r="AP2">
        <f t="shared" ref="AP2:AP65" si="0">E2</f>
        <v>1</v>
      </c>
      <c r="AQ2">
        <f t="shared" ref="AQ2:AQ65" si="1">E2</f>
        <v>1</v>
      </c>
      <c r="AR2" t="s">
        <v>1355</v>
      </c>
      <c r="AS2" t="s">
        <v>1356</v>
      </c>
      <c r="AT2" t="s">
        <v>706</v>
      </c>
      <c r="AU2" t="s">
        <v>1</v>
      </c>
      <c r="AV2" t="s">
        <v>1</v>
      </c>
      <c r="AW2">
        <v>-18.18</v>
      </c>
      <c r="AX2">
        <v>30.45</v>
      </c>
      <c r="AY2" t="s">
        <v>737</v>
      </c>
      <c r="AZ2">
        <f>7.6*7.6</f>
        <v>57.76</v>
      </c>
      <c r="BA2" s="3">
        <v>3</v>
      </c>
      <c r="BB2" s="3"/>
      <c r="BC2" s="3"/>
      <c r="BD2" s="23" t="s">
        <v>1291</v>
      </c>
      <c r="BE2" s="3" t="s">
        <v>932</v>
      </c>
      <c r="BF2" t="s">
        <v>1462</v>
      </c>
      <c r="BG2" s="24" t="s">
        <v>733</v>
      </c>
      <c r="BH2" s="24" t="s">
        <v>733</v>
      </c>
      <c r="BI2" s="24" t="s">
        <v>733</v>
      </c>
      <c r="BJ2" s="24" t="s">
        <v>732</v>
      </c>
      <c r="BK2" s="24" t="s">
        <v>733</v>
      </c>
      <c r="BL2" s="25" t="s">
        <v>733</v>
      </c>
      <c r="BM2" s="24" t="s">
        <v>733</v>
      </c>
      <c r="BN2" s="24" t="s">
        <v>732</v>
      </c>
      <c r="BO2" s="24" t="s">
        <v>733</v>
      </c>
      <c r="BP2" s="24" t="s">
        <v>733</v>
      </c>
      <c r="BQ2" s="24" t="s">
        <v>945</v>
      </c>
      <c r="BR2" s="24" t="s">
        <v>945</v>
      </c>
      <c r="BS2" s="24" t="s">
        <v>934</v>
      </c>
      <c r="BT2" s="24" t="s">
        <v>934</v>
      </c>
      <c r="BU2" s="24" t="s">
        <v>934</v>
      </c>
      <c r="BV2" s="24" t="s">
        <v>934</v>
      </c>
      <c r="BW2" s="24" t="s">
        <v>934</v>
      </c>
      <c r="BX2" s="24" t="s">
        <v>934</v>
      </c>
      <c r="BY2" s="25" t="s">
        <v>945</v>
      </c>
      <c r="BZ2" t="s">
        <v>5</v>
      </c>
      <c r="CB2" t="s">
        <v>1</v>
      </c>
      <c r="CC2" s="4">
        <v>2640</v>
      </c>
      <c r="CD2" s="4"/>
      <c r="CE2" s="4"/>
      <c r="CF2" t="s">
        <v>793</v>
      </c>
      <c r="CG2">
        <v>100</v>
      </c>
      <c r="CH2" t="s">
        <v>805</v>
      </c>
      <c r="CI2" s="1">
        <v>0.75</v>
      </c>
      <c r="CJ2" s="9" t="s">
        <v>1</v>
      </c>
      <c r="CK2" t="s">
        <v>807</v>
      </c>
      <c r="CL2" s="4">
        <f>598.75*10000/1000</f>
        <v>5987.5</v>
      </c>
      <c r="CM2" t="s">
        <v>847</v>
      </c>
      <c r="CN2" s="4">
        <f>4.707*10000/1000</f>
        <v>47.07</v>
      </c>
      <c r="CO2" s="4"/>
      <c r="CP2" s="4" t="s">
        <v>1</v>
      </c>
      <c r="CQ2" s="4" t="s">
        <v>1</v>
      </c>
      <c r="CR2" s="4" t="s">
        <v>1</v>
      </c>
      <c r="CS2" s="4" t="s">
        <v>1</v>
      </c>
      <c r="CT2" s="4" t="s">
        <v>1</v>
      </c>
      <c r="CU2" s="4" t="s">
        <v>1</v>
      </c>
      <c r="CV2" t="s">
        <v>853</v>
      </c>
      <c r="CW2">
        <v>100</v>
      </c>
      <c r="CX2">
        <v>0</v>
      </c>
      <c r="CY2">
        <v>34</v>
      </c>
      <c r="CZ2" t="s">
        <v>1358</v>
      </c>
      <c r="DA2" t="s">
        <v>734</v>
      </c>
      <c r="DB2">
        <v>90</v>
      </c>
      <c r="DC2">
        <v>0</v>
      </c>
      <c r="DD2">
        <v>34</v>
      </c>
      <c r="DE2" t="s">
        <v>1358</v>
      </c>
      <c r="DF2" t="s">
        <v>735</v>
      </c>
      <c r="DG2">
        <v>6</v>
      </c>
      <c r="DH2">
        <v>0</v>
      </c>
      <c r="DI2">
        <v>34</v>
      </c>
      <c r="DJ2" t="s">
        <v>1358</v>
      </c>
      <c r="DK2" t="s">
        <v>736</v>
      </c>
      <c r="DL2">
        <v>4</v>
      </c>
      <c r="DM2">
        <v>0</v>
      </c>
      <c r="DN2">
        <v>34</v>
      </c>
      <c r="DO2" t="s">
        <v>1358</v>
      </c>
      <c r="DP2" t="s">
        <v>6</v>
      </c>
      <c r="DQ2" t="s">
        <v>812</v>
      </c>
      <c r="DR2">
        <v>4.5</v>
      </c>
      <c r="DS2">
        <v>0</v>
      </c>
      <c r="DT2">
        <v>34</v>
      </c>
      <c r="DU2" t="s">
        <v>1358</v>
      </c>
      <c r="EA2" t="s">
        <v>982</v>
      </c>
      <c r="EB2">
        <v>3.5999999999999996</v>
      </c>
      <c r="EC2">
        <v>0</v>
      </c>
      <c r="ED2">
        <v>34</v>
      </c>
      <c r="EE2" t="s">
        <v>1358</v>
      </c>
      <c r="FZ2" t="s">
        <v>806</v>
      </c>
      <c r="GA2">
        <v>451.8</v>
      </c>
      <c r="GE2" s="26" t="s">
        <v>1358</v>
      </c>
      <c r="HA2" s="5" t="s">
        <v>1069</v>
      </c>
      <c r="HB2" s="4">
        <v>1.6</v>
      </c>
      <c r="HC2">
        <v>0</v>
      </c>
      <c r="HD2">
        <v>34</v>
      </c>
      <c r="HE2" s="26" t="s">
        <v>1358</v>
      </c>
      <c r="HF2" s="5" t="s">
        <v>1063</v>
      </c>
      <c r="HG2" s="4">
        <v>0.44000000000000006</v>
      </c>
      <c r="HH2">
        <v>0</v>
      </c>
      <c r="HI2">
        <v>34</v>
      </c>
      <c r="HJ2" s="26" t="s">
        <v>1358</v>
      </c>
      <c r="HK2" t="s">
        <v>1</v>
      </c>
      <c r="HL2" t="s">
        <v>1</v>
      </c>
      <c r="HM2" t="s">
        <v>1</v>
      </c>
      <c r="HN2" t="s">
        <v>1</v>
      </c>
      <c r="HO2" t="s">
        <v>1</v>
      </c>
      <c r="HP2" t="s">
        <v>1</v>
      </c>
      <c r="HQ2" t="s">
        <v>1</v>
      </c>
      <c r="HR2" t="s">
        <v>1</v>
      </c>
      <c r="HS2" t="s">
        <v>1</v>
      </c>
      <c r="HT2" t="s">
        <v>1</v>
      </c>
      <c r="HU2" t="s">
        <v>1</v>
      </c>
      <c r="HV2" t="s">
        <v>1</v>
      </c>
      <c r="HZ2" t="s">
        <v>1</v>
      </c>
      <c r="IA2" t="s">
        <v>1</v>
      </c>
      <c r="IB2" s="5" t="s">
        <v>1</v>
      </c>
      <c r="IC2" s="5"/>
      <c r="ID2" s="5"/>
      <c r="IE2" s="10" t="s">
        <v>1</v>
      </c>
      <c r="IF2" s="10" t="s">
        <v>1</v>
      </c>
      <c r="IG2" s="10"/>
      <c r="IH2" s="10"/>
      <c r="II2" s="10"/>
      <c r="IJ2" s="10"/>
      <c r="IK2" s="10"/>
      <c r="IL2" s="10"/>
      <c r="IM2" s="10"/>
      <c r="IN2" s="10"/>
      <c r="IO2" s="10"/>
      <c r="IP2" s="10"/>
      <c r="IQ2" s="10"/>
      <c r="IR2" s="10"/>
      <c r="IS2" t="s">
        <v>1</v>
      </c>
      <c r="IT2" t="s">
        <v>1</v>
      </c>
      <c r="IU2" t="s">
        <v>1</v>
      </c>
      <c r="IV2" t="s">
        <v>1</v>
      </c>
      <c r="IW2" t="s">
        <v>1</v>
      </c>
      <c r="IX2" t="s">
        <v>1</v>
      </c>
      <c r="IY2" t="s">
        <v>1</v>
      </c>
      <c r="IZ2" t="s">
        <v>1</v>
      </c>
      <c r="JA2" t="s">
        <v>1</v>
      </c>
      <c r="JB2" s="4" t="s">
        <v>1</v>
      </c>
      <c r="JC2" t="s">
        <v>1</v>
      </c>
      <c r="JD2" s="4" t="s">
        <v>1</v>
      </c>
      <c r="JE2" t="s">
        <v>1</v>
      </c>
      <c r="JF2" t="s">
        <v>1</v>
      </c>
      <c r="JR2" t="s">
        <v>1066</v>
      </c>
      <c r="JS2">
        <v>97.4</v>
      </c>
      <c r="JU2" t="s">
        <v>1</v>
      </c>
      <c r="JW2" t="s">
        <v>1</v>
      </c>
      <c r="JX2">
        <v>0</v>
      </c>
      <c r="JY2">
        <v>30</v>
      </c>
      <c r="JZ2" t="s">
        <v>794</v>
      </c>
      <c r="KA2" t="s">
        <v>7</v>
      </c>
      <c r="KB2" t="s">
        <v>738</v>
      </c>
      <c r="KC2" t="s">
        <v>1</v>
      </c>
      <c r="KD2" t="s">
        <v>1</v>
      </c>
      <c r="KE2" t="s">
        <v>1</v>
      </c>
      <c r="KF2" t="s">
        <v>1</v>
      </c>
      <c r="KG2" t="s">
        <v>1</v>
      </c>
      <c r="KH2" t="s">
        <v>1</v>
      </c>
      <c r="KI2" t="s">
        <v>1</v>
      </c>
      <c r="KJ2" t="s">
        <v>1</v>
      </c>
      <c r="KK2" t="s">
        <v>1</v>
      </c>
    </row>
    <row r="3" spans="1:297" x14ac:dyDescent="0.2">
      <c r="A3">
        <v>2</v>
      </c>
      <c r="B3" t="s">
        <v>705</v>
      </c>
      <c r="C3" t="s">
        <v>8</v>
      </c>
      <c r="D3" t="s">
        <v>2</v>
      </c>
      <c r="E3">
        <v>1</v>
      </c>
      <c r="F3" t="s">
        <v>3</v>
      </c>
      <c r="G3" t="s">
        <v>1</v>
      </c>
      <c r="H3" t="s">
        <v>1420</v>
      </c>
      <c r="I3" t="s">
        <v>1</v>
      </c>
      <c r="J3" t="s">
        <v>1</v>
      </c>
      <c r="K3" t="s">
        <v>1</v>
      </c>
      <c r="L3" t="s">
        <v>1</v>
      </c>
      <c r="M3" t="s">
        <v>1</v>
      </c>
      <c r="N3" t="s">
        <v>1</v>
      </c>
      <c r="O3" t="s">
        <v>1</v>
      </c>
      <c r="P3" t="s">
        <v>1</v>
      </c>
      <c r="Q3" t="s">
        <v>1</v>
      </c>
      <c r="R3" t="s">
        <v>1</v>
      </c>
      <c r="S3" t="s">
        <v>1</v>
      </c>
      <c r="T3" t="s">
        <v>1</v>
      </c>
      <c r="U3" t="s">
        <v>1</v>
      </c>
      <c r="V3" t="s">
        <v>1</v>
      </c>
      <c r="W3" t="s">
        <v>1</v>
      </c>
      <c r="X3" t="s">
        <v>1</v>
      </c>
      <c r="Y3" t="s">
        <v>1</v>
      </c>
      <c r="Z3" t="s">
        <v>1</v>
      </c>
      <c r="AA3" t="s">
        <v>1</v>
      </c>
      <c r="AB3" t="s">
        <v>1</v>
      </c>
      <c r="AC3" t="s">
        <v>1</v>
      </c>
      <c r="AD3" t="s">
        <v>1</v>
      </c>
      <c r="AE3" t="s">
        <v>1</v>
      </c>
      <c r="AF3" t="s">
        <v>1</v>
      </c>
      <c r="AG3" t="s">
        <v>1</v>
      </c>
      <c r="AH3" t="s">
        <v>1</v>
      </c>
      <c r="AI3" t="s">
        <v>1</v>
      </c>
      <c r="AJ3" t="s">
        <v>1</v>
      </c>
      <c r="AK3" t="s">
        <v>1</v>
      </c>
      <c r="AL3" t="s">
        <v>1</v>
      </c>
      <c r="AM3" t="s">
        <v>1</v>
      </c>
      <c r="AN3">
        <v>2</v>
      </c>
      <c r="AO3">
        <f t="shared" ref="AO3:AO66" si="2">AN3</f>
        <v>2</v>
      </c>
      <c r="AP3">
        <f t="shared" si="0"/>
        <v>1</v>
      </c>
      <c r="AQ3">
        <f t="shared" si="1"/>
        <v>1</v>
      </c>
      <c r="AR3" t="s">
        <v>1355</v>
      </c>
      <c r="AS3" t="s">
        <v>1356</v>
      </c>
      <c r="AT3" t="s">
        <v>706</v>
      </c>
      <c r="AU3" t="s">
        <v>1</v>
      </c>
      <c r="AV3" t="s">
        <v>1</v>
      </c>
      <c r="AW3">
        <v>-18.18</v>
      </c>
      <c r="AX3">
        <v>30.45</v>
      </c>
      <c r="AY3" t="s">
        <v>737</v>
      </c>
      <c r="AZ3">
        <f t="shared" ref="AZ3:AZ7" si="3">7.6*7.6</f>
        <v>57.76</v>
      </c>
      <c r="BA3" s="3">
        <v>3</v>
      </c>
      <c r="BB3" s="3"/>
      <c r="BC3" s="3"/>
      <c r="BD3" s="23" t="s">
        <v>1291</v>
      </c>
      <c r="BE3" s="3" t="s">
        <v>932</v>
      </c>
      <c r="BF3" t="s">
        <v>1462</v>
      </c>
      <c r="BG3" s="24" t="s">
        <v>733</v>
      </c>
      <c r="BH3" s="24" t="s">
        <v>733</v>
      </c>
      <c r="BI3" s="24" t="s">
        <v>733</v>
      </c>
      <c r="BJ3" s="24" t="s">
        <v>732</v>
      </c>
      <c r="BK3" s="24" t="s">
        <v>733</v>
      </c>
      <c r="BL3" s="25" t="s">
        <v>733</v>
      </c>
      <c r="BM3" s="24" t="s">
        <v>733</v>
      </c>
      <c r="BN3" s="24" t="s">
        <v>732</v>
      </c>
      <c r="BO3" s="24" t="s">
        <v>733</v>
      </c>
      <c r="BP3" s="24" t="s">
        <v>733</v>
      </c>
      <c r="BQ3" s="24" t="s">
        <v>945</v>
      </c>
      <c r="BR3" s="24" t="s">
        <v>945</v>
      </c>
      <c r="BS3" s="24" t="s">
        <v>934</v>
      </c>
      <c r="BT3" s="24" t="s">
        <v>934</v>
      </c>
      <c r="BU3" s="24" t="s">
        <v>934</v>
      </c>
      <c r="BV3" s="24" t="s">
        <v>934</v>
      </c>
      <c r="BW3" s="24" t="s">
        <v>934</v>
      </c>
      <c r="BX3" s="24" t="s">
        <v>934</v>
      </c>
      <c r="BY3" s="25" t="s">
        <v>945</v>
      </c>
      <c r="BZ3" t="s">
        <v>5</v>
      </c>
      <c r="CB3" t="s">
        <v>1</v>
      </c>
      <c r="CC3" s="4">
        <v>1255</v>
      </c>
      <c r="CD3" s="4"/>
      <c r="CE3" s="4"/>
      <c r="CF3" t="s">
        <v>793</v>
      </c>
      <c r="CG3">
        <v>100</v>
      </c>
      <c r="CH3" t="s">
        <v>805</v>
      </c>
      <c r="CI3" s="1">
        <v>0.75</v>
      </c>
      <c r="CJ3" s="9" t="s">
        <v>1</v>
      </c>
      <c r="CK3" t="s">
        <v>807</v>
      </c>
      <c r="CL3" s="4">
        <f>588.32*10000/1000</f>
        <v>5883.2000000000007</v>
      </c>
      <c r="CM3" t="s">
        <v>847</v>
      </c>
      <c r="CN3" s="4">
        <f>4.432*10000/1000</f>
        <v>44.320000000000007</v>
      </c>
      <c r="CO3" s="4"/>
      <c r="CP3" s="4" t="s">
        <v>1</v>
      </c>
      <c r="CQ3" s="4" t="s">
        <v>1</v>
      </c>
      <c r="CR3" s="4" t="s">
        <v>1</v>
      </c>
      <c r="CS3" s="4" t="s">
        <v>1</v>
      </c>
      <c r="CT3" s="4" t="s">
        <v>1</v>
      </c>
      <c r="CU3" s="4" t="s">
        <v>1</v>
      </c>
      <c r="CV3" t="s">
        <v>853</v>
      </c>
      <c r="CW3">
        <v>100</v>
      </c>
      <c r="CX3">
        <v>0</v>
      </c>
      <c r="CY3">
        <v>34</v>
      </c>
      <c r="CZ3" t="s">
        <v>1358</v>
      </c>
      <c r="DA3" t="s">
        <v>734</v>
      </c>
      <c r="DB3">
        <v>90</v>
      </c>
      <c r="DC3">
        <v>0</v>
      </c>
      <c r="DD3">
        <v>34</v>
      </c>
      <c r="DE3" t="s">
        <v>1358</v>
      </c>
      <c r="DF3" t="s">
        <v>735</v>
      </c>
      <c r="DG3">
        <v>6</v>
      </c>
      <c r="DH3">
        <v>0</v>
      </c>
      <c r="DI3">
        <v>34</v>
      </c>
      <c r="DJ3" t="s">
        <v>1358</v>
      </c>
      <c r="DK3" t="s">
        <v>736</v>
      </c>
      <c r="DL3">
        <v>4</v>
      </c>
      <c r="DM3">
        <v>0</v>
      </c>
      <c r="DN3">
        <v>34</v>
      </c>
      <c r="DO3" t="s">
        <v>1358</v>
      </c>
      <c r="DP3" t="s">
        <v>6</v>
      </c>
      <c r="DQ3" t="s">
        <v>812</v>
      </c>
      <c r="DR3">
        <v>4.5</v>
      </c>
      <c r="DS3">
        <v>0</v>
      </c>
      <c r="DT3">
        <v>34</v>
      </c>
      <c r="DU3" t="s">
        <v>1358</v>
      </c>
      <c r="EA3" t="s">
        <v>982</v>
      </c>
      <c r="EB3">
        <v>3.5999999999999996</v>
      </c>
      <c r="EC3">
        <v>0</v>
      </c>
      <c r="ED3">
        <v>34</v>
      </c>
      <c r="EE3" t="s">
        <v>1358</v>
      </c>
      <c r="FZ3" t="s">
        <v>806</v>
      </c>
      <c r="GA3">
        <v>451.8</v>
      </c>
      <c r="GE3" s="26" t="s">
        <v>1358</v>
      </c>
      <c r="HA3" s="5" t="s">
        <v>1069</v>
      </c>
      <c r="HB3" s="4">
        <v>1.6</v>
      </c>
      <c r="HC3">
        <v>0</v>
      </c>
      <c r="HD3">
        <v>34</v>
      </c>
      <c r="HE3" s="26" t="s">
        <v>1358</v>
      </c>
      <c r="HF3" s="5" t="s">
        <v>1063</v>
      </c>
      <c r="HG3" s="4">
        <v>0.44000000000000006</v>
      </c>
      <c r="HH3">
        <v>0</v>
      </c>
      <c r="HI3">
        <v>34</v>
      </c>
      <c r="HJ3" s="26" t="s">
        <v>1358</v>
      </c>
      <c r="HK3" t="s">
        <v>1</v>
      </c>
      <c r="HL3" t="s">
        <v>1</v>
      </c>
      <c r="HM3" t="s">
        <v>1</v>
      </c>
      <c r="HN3" t="s">
        <v>1</v>
      </c>
      <c r="HO3" t="s">
        <v>1</v>
      </c>
      <c r="HP3" t="s">
        <v>1</v>
      </c>
      <c r="HQ3" t="s">
        <v>1</v>
      </c>
      <c r="HR3" t="s">
        <v>1</v>
      </c>
      <c r="HS3" t="s">
        <v>1</v>
      </c>
      <c r="HT3" t="s">
        <v>1</v>
      </c>
      <c r="HU3" t="s">
        <v>1</v>
      </c>
      <c r="HV3" t="s">
        <v>1</v>
      </c>
      <c r="HZ3" t="s">
        <v>1</v>
      </c>
      <c r="IA3" t="s">
        <v>1</v>
      </c>
      <c r="IB3" s="5" t="s">
        <v>1</v>
      </c>
      <c r="IC3" s="5"/>
      <c r="ID3" s="5"/>
      <c r="IE3" s="10" t="s">
        <v>1</v>
      </c>
      <c r="IF3" s="10" t="s">
        <v>1</v>
      </c>
      <c r="IG3" s="10"/>
      <c r="IH3" s="10"/>
      <c r="II3" s="10"/>
      <c r="IJ3" s="10"/>
      <c r="IK3" s="10"/>
      <c r="IL3" s="10"/>
      <c r="IM3" s="10"/>
      <c r="IN3" s="10"/>
      <c r="IO3" s="10"/>
      <c r="IP3" s="10"/>
      <c r="IQ3" s="10"/>
      <c r="IR3" s="10"/>
      <c r="IS3" t="s">
        <v>978</v>
      </c>
      <c r="IT3">
        <v>91</v>
      </c>
      <c r="IU3" t="s">
        <v>1293</v>
      </c>
      <c r="IV3" s="27">
        <f>25/0.019</f>
        <v>1315.7894736842106</v>
      </c>
      <c r="IW3" t="s">
        <v>1</v>
      </c>
      <c r="IX3" t="s">
        <v>1</v>
      </c>
      <c r="IY3" t="s">
        <v>1</v>
      </c>
      <c r="IZ3" t="s">
        <v>1</v>
      </c>
      <c r="JA3" t="s">
        <v>1</v>
      </c>
      <c r="JB3" s="4" t="s">
        <v>1</v>
      </c>
      <c r="JC3" t="s">
        <v>1</v>
      </c>
      <c r="JD3" s="4" t="s">
        <v>1</v>
      </c>
      <c r="JE3" t="s">
        <v>1</v>
      </c>
      <c r="JF3" t="s">
        <v>1</v>
      </c>
      <c r="JR3" t="s">
        <v>1066</v>
      </c>
      <c r="JS3">
        <v>93</v>
      </c>
      <c r="JU3" t="s">
        <v>1</v>
      </c>
      <c r="JW3" t="s">
        <v>1</v>
      </c>
      <c r="JX3">
        <v>0</v>
      </c>
      <c r="JY3">
        <v>30</v>
      </c>
      <c r="JZ3" t="s">
        <v>794</v>
      </c>
      <c r="KA3" t="s">
        <v>7</v>
      </c>
      <c r="KB3" t="s">
        <v>738</v>
      </c>
      <c r="KC3" t="s">
        <v>1</v>
      </c>
      <c r="KD3" t="s">
        <v>1</v>
      </c>
      <c r="KE3" t="s">
        <v>1</v>
      </c>
      <c r="KF3" t="s">
        <v>1</v>
      </c>
      <c r="KG3" t="s">
        <v>1</v>
      </c>
      <c r="KH3" t="s">
        <v>1</v>
      </c>
      <c r="KI3" t="s">
        <v>1</v>
      </c>
      <c r="KJ3" t="s">
        <v>1</v>
      </c>
      <c r="KK3" t="s">
        <v>1</v>
      </c>
    </row>
    <row r="4" spans="1:297" x14ac:dyDescent="0.2">
      <c r="A4">
        <v>3</v>
      </c>
      <c r="B4" t="s">
        <v>705</v>
      </c>
      <c r="C4" t="s">
        <v>9</v>
      </c>
      <c r="D4" t="s">
        <v>2</v>
      </c>
      <c r="E4">
        <v>1</v>
      </c>
      <c r="F4" t="s">
        <v>3</v>
      </c>
      <c r="G4" t="s">
        <v>1</v>
      </c>
      <c r="H4" t="s">
        <v>1420</v>
      </c>
      <c r="I4" t="s">
        <v>1</v>
      </c>
      <c r="J4" t="s">
        <v>1</v>
      </c>
      <c r="K4" t="s">
        <v>1</v>
      </c>
      <c r="L4" t="s">
        <v>1</v>
      </c>
      <c r="M4" t="s">
        <v>1</v>
      </c>
      <c r="N4" t="s">
        <v>1</v>
      </c>
      <c r="O4" t="s">
        <v>1</v>
      </c>
      <c r="P4" t="s">
        <v>1</v>
      </c>
      <c r="Q4" t="s">
        <v>1</v>
      </c>
      <c r="R4" t="s">
        <v>1</v>
      </c>
      <c r="S4" t="s">
        <v>1</v>
      </c>
      <c r="T4" t="s">
        <v>1</v>
      </c>
      <c r="U4" t="s">
        <v>1</v>
      </c>
      <c r="V4" t="s">
        <v>1</v>
      </c>
      <c r="W4" t="s">
        <v>1</v>
      </c>
      <c r="X4" t="s">
        <v>1</v>
      </c>
      <c r="Y4" t="s">
        <v>1</v>
      </c>
      <c r="Z4" t="s">
        <v>1</v>
      </c>
      <c r="AA4" t="s">
        <v>1</v>
      </c>
      <c r="AB4" t="s">
        <v>1</v>
      </c>
      <c r="AC4" t="s">
        <v>1</v>
      </c>
      <c r="AD4" t="s">
        <v>1</v>
      </c>
      <c r="AE4" t="s">
        <v>1</v>
      </c>
      <c r="AF4" t="s">
        <v>1</v>
      </c>
      <c r="AG4" t="s">
        <v>1</v>
      </c>
      <c r="AH4" t="s">
        <v>1</v>
      </c>
      <c r="AI4" t="s">
        <v>1</v>
      </c>
      <c r="AJ4" t="s">
        <v>1</v>
      </c>
      <c r="AK4" t="s">
        <v>1</v>
      </c>
      <c r="AL4" t="s">
        <v>1</v>
      </c>
      <c r="AM4" t="s">
        <v>1</v>
      </c>
      <c r="AN4">
        <v>3</v>
      </c>
      <c r="AO4">
        <f t="shared" si="2"/>
        <v>3</v>
      </c>
      <c r="AP4">
        <f t="shared" si="0"/>
        <v>1</v>
      </c>
      <c r="AQ4">
        <f t="shared" si="1"/>
        <v>1</v>
      </c>
      <c r="AR4" t="s">
        <v>1355</v>
      </c>
      <c r="AS4" t="s">
        <v>1356</v>
      </c>
      <c r="AT4" t="s">
        <v>706</v>
      </c>
      <c r="AU4" t="s">
        <v>1</v>
      </c>
      <c r="AV4" t="s">
        <v>1</v>
      </c>
      <c r="AW4">
        <v>-18.18</v>
      </c>
      <c r="AX4">
        <v>30.45</v>
      </c>
      <c r="AY4" t="s">
        <v>737</v>
      </c>
      <c r="AZ4">
        <f t="shared" si="3"/>
        <v>57.76</v>
      </c>
      <c r="BA4" s="3">
        <v>3</v>
      </c>
      <c r="BB4" s="3"/>
      <c r="BC4" s="3"/>
      <c r="BD4" s="23" t="s">
        <v>1291</v>
      </c>
      <c r="BE4" s="3" t="s">
        <v>932</v>
      </c>
      <c r="BF4" t="s">
        <v>1462</v>
      </c>
      <c r="BG4" s="24" t="s">
        <v>733</v>
      </c>
      <c r="BH4" s="24" t="s">
        <v>733</v>
      </c>
      <c r="BI4" s="24" t="s">
        <v>733</v>
      </c>
      <c r="BJ4" s="24" t="s">
        <v>732</v>
      </c>
      <c r="BK4" s="24" t="s">
        <v>733</v>
      </c>
      <c r="BL4" s="25" t="s">
        <v>733</v>
      </c>
      <c r="BM4" s="24" t="s">
        <v>733</v>
      </c>
      <c r="BN4" s="24" t="s">
        <v>732</v>
      </c>
      <c r="BO4" s="24" t="s">
        <v>733</v>
      </c>
      <c r="BP4" s="24" t="s">
        <v>733</v>
      </c>
      <c r="BQ4" s="24" t="s">
        <v>945</v>
      </c>
      <c r="BR4" s="24" t="s">
        <v>945</v>
      </c>
      <c r="BS4" s="24" t="s">
        <v>934</v>
      </c>
      <c r="BT4" s="24" t="s">
        <v>934</v>
      </c>
      <c r="BU4" s="24" t="s">
        <v>934</v>
      </c>
      <c r="BV4" s="24" t="s">
        <v>934</v>
      </c>
      <c r="BW4" s="24" t="s">
        <v>934</v>
      </c>
      <c r="BX4" s="24" t="s">
        <v>934</v>
      </c>
      <c r="BY4" s="25" t="s">
        <v>945</v>
      </c>
      <c r="BZ4" t="s">
        <v>5</v>
      </c>
      <c r="CB4" t="s">
        <v>1</v>
      </c>
      <c r="CC4" s="4">
        <v>3938</v>
      </c>
      <c r="CD4" s="4"/>
      <c r="CE4" s="4"/>
      <c r="CF4" t="s">
        <v>793</v>
      </c>
      <c r="CG4">
        <v>100</v>
      </c>
      <c r="CH4" t="s">
        <v>805</v>
      </c>
      <c r="CI4" s="1">
        <v>0.75</v>
      </c>
      <c r="CJ4" s="9" t="s">
        <v>1</v>
      </c>
      <c r="CK4" t="s">
        <v>807</v>
      </c>
      <c r="CL4" s="4">
        <f>1104.77*10000/1000</f>
        <v>11047.7</v>
      </c>
      <c r="CM4" t="s">
        <v>847</v>
      </c>
      <c r="CN4" s="4">
        <f>12.419*10000/1000</f>
        <v>124.19</v>
      </c>
      <c r="CO4" s="4"/>
      <c r="CP4" s="4" t="s">
        <v>1</v>
      </c>
      <c r="CQ4" s="4" t="s">
        <v>1</v>
      </c>
      <c r="CR4" s="4" t="s">
        <v>1</v>
      </c>
      <c r="CS4" s="4" t="s">
        <v>1</v>
      </c>
      <c r="CT4" s="4" t="s">
        <v>1</v>
      </c>
      <c r="CU4" s="4" t="s">
        <v>1</v>
      </c>
      <c r="CV4" t="s">
        <v>853</v>
      </c>
      <c r="CW4">
        <v>100</v>
      </c>
      <c r="CX4">
        <v>0</v>
      </c>
      <c r="CY4">
        <v>34</v>
      </c>
      <c r="CZ4" t="s">
        <v>1358</v>
      </c>
      <c r="DA4" t="s">
        <v>734</v>
      </c>
      <c r="DB4">
        <v>90</v>
      </c>
      <c r="DC4">
        <v>0</v>
      </c>
      <c r="DD4">
        <v>34</v>
      </c>
      <c r="DE4" t="s">
        <v>1358</v>
      </c>
      <c r="DF4" t="s">
        <v>735</v>
      </c>
      <c r="DG4">
        <v>6</v>
      </c>
      <c r="DH4">
        <v>0</v>
      </c>
      <c r="DI4">
        <v>34</v>
      </c>
      <c r="DJ4" t="s">
        <v>1358</v>
      </c>
      <c r="DK4" t="s">
        <v>736</v>
      </c>
      <c r="DL4">
        <v>4</v>
      </c>
      <c r="DM4">
        <v>0</v>
      </c>
      <c r="DN4">
        <v>34</v>
      </c>
      <c r="DO4" t="s">
        <v>1358</v>
      </c>
      <c r="DP4" t="s">
        <v>6</v>
      </c>
      <c r="DQ4" t="s">
        <v>812</v>
      </c>
      <c r="DR4">
        <v>4.5</v>
      </c>
      <c r="DS4">
        <v>0</v>
      </c>
      <c r="DT4">
        <v>34</v>
      </c>
      <c r="DU4" t="s">
        <v>1358</v>
      </c>
      <c r="EA4" t="s">
        <v>982</v>
      </c>
      <c r="EB4">
        <v>3.5999999999999996</v>
      </c>
      <c r="EC4">
        <v>0</v>
      </c>
      <c r="ED4">
        <v>34</v>
      </c>
      <c r="EE4" t="s">
        <v>1358</v>
      </c>
      <c r="FZ4" t="s">
        <v>806</v>
      </c>
      <c r="GA4">
        <v>451.8</v>
      </c>
      <c r="GE4" s="26" t="s">
        <v>1358</v>
      </c>
      <c r="HA4" s="5" t="s">
        <v>1069</v>
      </c>
      <c r="HB4" s="4">
        <v>1.6</v>
      </c>
      <c r="HC4">
        <v>0</v>
      </c>
      <c r="HD4">
        <v>34</v>
      </c>
      <c r="HE4" s="26" t="s">
        <v>1358</v>
      </c>
      <c r="HF4" s="5" t="s">
        <v>1063</v>
      </c>
      <c r="HG4" s="4">
        <v>0.44000000000000006</v>
      </c>
      <c r="HH4">
        <v>0</v>
      </c>
      <c r="HI4">
        <v>34</v>
      </c>
      <c r="HJ4" s="26" t="s">
        <v>1358</v>
      </c>
      <c r="HK4" t="s">
        <v>1</v>
      </c>
      <c r="HL4" t="s">
        <v>1</v>
      </c>
      <c r="HM4" t="s">
        <v>1</v>
      </c>
      <c r="HN4" t="s">
        <v>1</v>
      </c>
      <c r="HO4" t="s">
        <v>1</v>
      </c>
      <c r="HP4" t="s">
        <v>1</v>
      </c>
      <c r="HQ4" t="s">
        <v>1</v>
      </c>
      <c r="HR4" t="s">
        <v>1</v>
      </c>
      <c r="HS4" t="s">
        <v>1</v>
      </c>
      <c r="HT4" t="s">
        <v>1</v>
      </c>
      <c r="HU4" t="s">
        <v>1</v>
      </c>
      <c r="HV4" t="s">
        <v>1</v>
      </c>
      <c r="HZ4" t="s">
        <v>966</v>
      </c>
      <c r="IA4">
        <v>100</v>
      </c>
      <c r="IB4" s="5" t="s">
        <v>1</v>
      </c>
      <c r="IC4" s="5"/>
      <c r="ID4" s="5"/>
      <c r="IE4" s="10" t="s">
        <v>1</v>
      </c>
      <c r="IF4" s="10" t="s">
        <v>1</v>
      </c>
      <c r="IG4" s="10"/>
      <c r="IH4" s="10"/>
      <c r="II4" s="10"/>
      <c r="IJ4" s="10"/>
      <c r="IK4" s="10"/>
      <c r="IL4" s="10"/>
      <c r="IM4" s="10"/>
      <c r="IN4" s="10"/>
      <c r="IO4" s="10"/>
      <c r="IP4" s="10"/>
      <c r="IQ4" s="10"/>
      <c r="IR4" s="10"/>
      <c r="IS4" t="s">
        <v>978</v>
      </c>
      <c r="IT4">
        <v>91</v>
      </c>
      <c r="IU4" t="s">
        <v>1293</v>
      </c>
      <c r="IV4" s="27">
        <f>25/0.019</f>
        <v>1315.7894736842106</v>
      </c>
      <c r="IW4" t="s">
        <v>1</v>
      </c>
      <c r="IX4" t="s">
        <v>1</v>
      </c>
      <c r="IY4" t="s">
        <v>1</v>
      </c>
      <c r="IZ4" t="s">
        <v>1</v>
      </c>
      <c r="JA4" t="s">
        <v>1</v>
      </c>
      <c r="JB4" s="4" t="s">
        <v>1</v>
      </c>
      <c r="JC4" t="s">
        <v>1</v>
      </c>
      <c r="JD4" s="4" t="s">
        <v>1</v>
      </c>
      <c r="JE4" t="s">
        <v>1</v>
      </c>
      <c r="JF4" t="s">
        <v>1</v>
      </c>
      <c r="JR4" t="s">
        <v>1066</v>
      </c>
      <c r="JS4">
        <v>66.8</v>
      </c>
      <c r="JU4" t="s">
        <v>1</v>
      </c>
      <c r="JW4" t="s">
        <v>1</v>
      </c>
      <c r="JX4">
        <v>0</v>
      </c>
      <c r="JY4">
        <v>30</v>
      </c>
      <c r="JZ4" t="s">
        <v>794</v>
      </c>
      <c r="KA4" t="s">
        <v>7</v>
      </c>
      <c r="KB4" t="s">
        <v>738</v>
      </c>
      <c r="KC4" t="s">
        <v>1</v>
      </c>
      <c r="KD4" t="s">
        <v>1</v>
      </c>
      <c r="KE4" t="s">
        <v>1</v>
      </c>
      <c r="KF4" t="s">
        <v>1</v>
      </c>
      <c r="KG4" t="s">
        <v>1</v>
      </c>
      <c r="KH4" t="s">
        <v>1</v>
      </c>
      <c r="KI4" t="s">
        <v>1</v>
      </c>
      <c r="KJ4" t="s">
        <v>1</v>
      </c>
      <c r="KK4" t="s">
        <v>1</v>
      </c>
    </row>
    <row r="5" spans="1:297" x14ac:dyDescent="0.2">
      <c r="A5">
        <v>4</v>
      </c>
      <c r="B5" t="s">
        <v>705</v>
      </c>
      <c r="C5" t="s">
        <v>10</v>
      </c>
      <c r="D5" t="s">
        <v>2</v>
      </c>
      <c r="E5">
        <v>1</v>
      </c>
      <c r="F5" t="s">
        <v>3</v>
      </c>
      <c r="G5" t="s">
        <v>1</v>
      </c>
      <c r="H5" t="s">
        <v>1420</v>
      </c>
      <c r="I5" t="s">
        <v>1</v>
      </c>
      <c r="J5" t="s">
        <v>1</v>
      </c>
      <c r="K5" t="s">
        <v>1</v>
      </c>
      <c r="L5" t="s">
        <v>1</v>
      </c>
      <c r="M5" t="s">
        <v>1</v>
      </c>
      <c r="N5" t="s">
        <v>1</v>
      </c>
      <c r="O5" t="s">
        <v>1</v>
      </c>
      <c r="P5" t="s">
        <v>1</v>
      </c>
      <c r="Q5" t="s">
        <v>1</v>
      </c>
      <c r="R5" t="s">
        <v>1</v>
      </c>
      <c r="S5" t="s">
        <v>1</v>
      </c>
      <c r="T5" t="s">
        <v>1</v>
      </c>
      <c r="U5" t="s">
        <v>1</v>
      </c>
      <c r="V5" t="s">
        <v>1</v>
      </c>
      <c r="W5" t="s">
        <v>1</v>
      </c>
      <c r="X5" t="s">
        <v>1</v>
      </c>
      <c r="Y5" t="s">
        <v>1</v>
      </c>
      <c r="Z5" t="s">
        <v>1</v>
      </c>
      <c r="AA5" t="s">
        <v>1</v>
      </c>
      <c r="AB5" t="s">
        <v>1</v>
      </c>
      <c r="AC5" t="s">
        <v>1</v>
      </c>
      <c r="AD5" t="s">
        <v>1</v>
      </c>
      <c r="AE5" t="s">
        <v>1</v>
      </c>
      <c r="AF5" t="s">
        <v>1</v>
      </c>
      <c r="AG5" t="s">
        <v>1</v>
      </c>
      <c r="AH5" t="s">
        <v>1</v>
      </c>
      <c r="AI5" t="s">
        <v>1</v>
      </c>
      <c r="AJ5" t="s">
        <v>1</v>
      </c>
      <c r="AK5" t="s">
        <v>1</v>
      </c>
      <c r="AL5" t="s">
        <v>1</v>
      </c>
      <c r="AM5" t="s">
        <v>1</v>
      </c>
      <c r="AN5">
        <v>4</v>
      </c>
      <c r="AO5">
        <f t="shared" si="2"/>
        <v>4</v>
      </c>
      <c r="AP5">
        <f t="shared" si="0"/>
        <v>1</v>
      </c>
      <c r="AQ5">
        <f t="shared" si="1"/>
        <v>1</v>
      </c>
      <c r="AR5" t="s">
        <v>1355</v>
      </c>
      <c r="AS5" t="s">
        <v>1356</v>
      </c>
      <c r="AT5" t="s">
        <v>706</v>
      </c>
      <c r="AU5" t="s">
        <v>1</v>
      </c>
      <c r="AV5" t="s">
        <v>1</v>
      </c>
      <c r="AW5">
        <v>-18.18</v>
      </c>
      <c r="AX5">
        <v>30.45</v>
      </c>
      <c r="AY5" t="s">
        <v>737</v>
      </c>
      <c r="AZ5">
        <f t="shared" si="3"/>
        <v>57.76</v>
      </c>
      <c r="BA5" s="3">
        <v>3</v>
      </c>
      <c r="BB5" s="3"/>
      <c r="BC5" s="3"/>
      <c r="BD5" s="23" t="s">
        <v>1291</v>
      </c>
      <c r="BE5" s="3" t="s">
        <v>932</v>
      </c>
      <c r="BF5" t="s">
        <v>1462</v>
      </c>
      <c r="BG5" s="24" t="s">
        <v>733</v>
      </c>
      <c r="BH5" s="24" t="s">
        <v>733</v>
      </c>
      <c r="BI5" s="24" t="s">
        <v>733</v>
      </c>
      <c r="BJ5" s="24" t="s">
        <v>732</v>
      </c>
      <c r="BK5" s="24" t="s">
        <v>733</v>
      </c>
      <c r="BL5" s="25" t="s">
        <v>733</v>
      </c>
      <c r="BM5" s="24" t="s">
        <v>733</v>
      </c>
      <c r="BN5" s="24" t="s">
        <v>732</v>
      </c>
      <c r="BO5" s="24" t="s">
        <v>733</v>
      </c>
      <c r="BP5" s="24" t="s">
        <v>733</v>
      </c>
      <c r="BQ5" s="24" t="s">
        <v>945</v>
      </c>
      <c r="BR5" s="24" t="s">
        <v>945</v>
      </c>
      <c r="BS5" s="24" t="s">
        <v>934</v>
      </c>
      <c r="BT5" s="24" t="s">
        <v>934</v>
      </c>
      <c r="BU5" s="24" t="s">
        <v>934</v>
      </c>
      <c r="BV5" s="24" t="s">
        <v>934</v>
      </c>
      <c r="BW5" s="24" t="s">
        <v>934</v>
      </c>
      <c r="BX5" s="24" t="s">
        <v>934</v>
      </c>
      <c r="BY5" s="25" t="s">
        <v>945</v>
      </c>
      <c r="BZ5" t="s">
        <v>5</v>
      </c>
      <c r="CB5" t="s">
        <v>1</v>
      </c>
      <c r="CC5" s="4">
        <v>4731</v>
      </c>
      <c r="CD5" s="4"/>
      <c r="CE5" s="4"/>
      <c r="CF5" t="s">
        <v>793</v>
      </c>
      <c r="CG5">
        <v>100</v>
      </c>
      <c r="CH5" t="s">
        <v>805</v>
      </c>
      <c r="CI5" s="1">
        <v>0.75</v>
      </c>
      <c r="CJ5" s="9" t="s">
        <v>1</v>
      </c>
      <c r="CK5" t="s">
        <v>807</v>
      </c>
      <c r="CL5" s="4">
        <f>899.61*10000/1000</f>
        <v>8996.1</v>
      </c>
      <c r="CM5" t="s">
        <v>847</v>
      </c>
      <c r="CN5" s="4">
        <f>11.065*10000/1000</f>
        <v>110.65</v>
      </c>
      <c r="CO5" s="4"/>
      <c r="CP5" s="4" t="s">
        <v>1</v>
      </c>
      <c r="CQ5" s="4" t="s">
        <v>1</v>
      </c>
      <c r="CR5" s="4" t="s">
        <v>1</v>
      </c>
      <c r="CS5" s="4" t="s">
        <v>1</v>
      </c>
      <c r="CT5" s="4" t="s">
        <v>1</v>
      </c>
      <c r="CU5" s="4" t="s">
        <v>1</v>
      </c>
      <c r="CV5" t="s">
        <v>853</v>
      </c>
      <c r="CW5">
        <v>100</v>
      </c>
      <c r="CX5">
        <v>0</v>
      </c>
      <c r="CY5">
        <v>34</v>
      </c>
      <c r="CZ5" t="s">
        <v>1358</v>
      </c>
      <c r="DA5" t="s">
        <v>734</v>
      </c>
      <c r="DB5">
        <v>90</v>
      </c>
      <c r="DC5">
        <v>0</v>
      </c>
      <c r="DD5">
        <v>34</v>
      </c>
      <c r="DE5" t="s">
        <v>1358</v>
      </c>
      <c r="DF5" t="s">
        <v>735</v>
      </c>
      <c r="DG5">
        <v>6</v>
      </c>
      <c r="DH5">
        <v>0</v>
      </c>
      <c r="DI5">
        <v>34</v>
      </c>
      <c r="DJ5" t="s">
        <v>1358</v>
      </c>
      <c r="DK5" t="s">
        <v>736</v>
      </c>
      <c r="DL5">
        <v>4</v>
      </c>
      <c r="DM5">
        <v>0</v>
      </c>
      <c r="DN5">
        <v>34</v>
      </c>
      <c r="DO5" t="s">
        <v>1358</v>
      </c>
      <c r="DP5" t="s">
        <v>6</v>
      </c>
      <c r="DQ5" t="s">
        <v>812</v>
      </c>
      <c r="DR5">
        <v>4.5</v>
      </c>
      <c r="DS5">
        <v>0</v>
      </c>
      <c r="DT5">
        <v>34</v>
      </c>
      <c r="DU5" t="s">
        <v>1358</v>
      </c>
      <c r="EA5" t="s">
        <v>982</v>
      </c>
      <c r="EB5">
        <v>3.5999999999999996</v>
      </c>
      <c r="EC5">
        <v>0</v>
      </c>
      <c r="ED5">
        <v>34</v>
      </c>
      <c r="EE5" t="s">
        <v>1358</v>
      </c>
      <c r="FZ5" t="s">
        <v>806</v>
      </c>
      <c r="GA5">
        <v>451.8</v>
      </c>
      <c r="GE5" s="26" t="s">
        <v>1358</v>
      </c>
      <c r="HA5" s="5" t="s">
        <v>1069</v>
      </c>
      <c r="HB5" s="4">
        <v>1.6</v>
      </c>
      <c r="HC5">
        <v>0</v>
      </c>
      <c r="HD5">
        <v>34</v>
      </c>
      <c r="HE5" s="26" t="s">
        <v>1358</v>
      </c>
      <c r="HF5" s="5" t="s">
        <v>1063</v>
      </c>
      <c r="HG5" s="4">
        <v>0.44000000000000006</v>
      </c>
      <c r="HH5">
        <v>0</v>
      </c>
      <c r="HI5">
        <v>34</v>
      </c>
      <c r="HJ5" s="26" t="s">
        <v>1358</v>
      </c>
      <c r="HK5" t="s">
        <v>1</v>
      </c>
      <c r="HL5" t="s">
        <v>1</v>
      </c>
      <c r="HM5" t="s">
        <v>1</v>
      </c>
      <c r="HN5" t="s">
        <v>1</v>
      </c>
      <c r="HO5" t="s">
        <v>1</v>
      </c>
      <c r="HP5" t="s">
        <v>1</v>
      </c>
      <c r="HQ5" t="s">
        <v>1</v>
      </c>
      <c r="HR5" t="s">
        <v>1</v>
      </c>
      <c r="HS5" t="s">
        <v>1</v>
      </c>
      <c r="HT5" t="s">
        <v>1</v>
      </c>
      <c r="HU5" t="s">
        <v>1</v>
      </c>
      <c r="HV5" t="s">
        <v>1</v>
      </c>
      <c r="HZ5" t="s">
        <v>966</v>
      </c>
      <c r="IA5">
        <v>100</v>
      </c>
      <c r="IB5" s="5" t="s">
        <v>1</v>
      </c>
      <c r="IC5" s="5"/>
      <c r="ID5" s="5"/>
      <c r="IE5" s="10" t="s">
        <v>1</v>
      </c>
      <c r="IF5" s="10" t="s">
        <v>1</v>
      </c>
      <c r="IG5" s="10"/>
      <c r="IH5" s="10"/>
      <c r="II5" s="10"/>
      <c r="IJ5" s="10"/>
      <c r="IK5" s="10"/>
      <c r="IL5" s="10"/>
      <c r="IM5" s="10"/>
      <c r="IN5" s="10"/>
      <c r="IO5" s="10"/>
      <c r="IP5" s="10"/>
      <c r="IQ5" s="10"/>
      <c r="IR5" s="10"/>
      <c r="IS5" t="s">
        <v>978</v>
      </c>
      <c r="IT5">
        <v>91</v>
      </c>
      <c r="IU5" t="s">
        <v>1293</v>
      </c>
      <c r="IV5" s="27">
        <f>25/0.019</f>
        <v>1315.7894736842106</v>
      </c>
      <c r="IW5" t="s">
        <v>1</v>
      </c>
      <c r="IX5" t="s">
        <v>1</v>
      </c>
      <c r="IY5" t="s">
        <v>1</v>
      </c>
      <c r="IZ5" t="s">
        <v>1</v>
      </c>
      <c r="JA5" t="s">
        <v>1</v>
      </c>
      <c r="JB5" s="4" t="s">
        <v>1</v>
      </c>
      <c r="JC5" t="s">
        <v>1</v>
      </c>
      <c r="JD5" s="4" t="s">
        <v>1</v>
      </c>
      <c r="JE5" t="s">
        <v>1</v>
      </c>
      <c r="JF5" t="s">
        <v>1</v>
      </c>
      <c r="JR5" t="s">
        <v>1066</v>
      </c>
      <c r="JS5">
        <v>29.7</v>
      </c>
      <c r="JU5" t="s">
        <v>1</v>
      </c>
      <c r="JW5" t="s">
        <v>1</v>
      </c>
      <c r="JX5">
        <v>0</v>
      </c>
      <c r="JY5">
        <v>30</v>
      </c>
      <c r="JZ5" t="s">
        <v>794</v>
      </c>
      <c r="KA5" t="s">
        <v>7</v>
      </c>
      <c r="KB5" t="s">
        <v>738</v>
      </c>
      <c r="KC5" t="s">
        <v>1</v>
      </c>
      <c r="KD5" t="s">
        <v>1</v>
      </c>
      <c r="KE5" t="s">
        <v>1</v>
      </c>
      <c r="KF5" t="s">
        <v>1</v>
      </c>
      <c r="KG5" t="s">
        <v>1</v>
      </c>
      <c r="KH5" t="s">
        <v>1</v>
      </c>
      <c r="KI5" t="s">
        <v>1</v>
      </c>
      <c r="KJ5" t="s">
        <v>1</v>
      </c>
      <c r="KK5" t="s">
        <v>1</v>
      </c>
    </row>
    <row r="6" spans="1:297" x14ac:dyDescent="0.2">
      <c r="A6">
        <v>5</v>
      </c>
      <c r="B6" t="s">
        <v>705</v>
      </c>
      <c r="C6" t="s">
        <v>11</v>
      </c>
      <c r="D6" t="s">
        <v>2</v>
      </c>
      <c r="E6">
        <v>1</v>
      </c>
      <c r="F6" t="s">
        <v>3</v>
      </c>
      <c r="G6" t="s">
        <v>1</v>
      </c>
      <c r="H6" t="s">
        <v>1420</v>
      </c>
      <c r="I6" t="s">
        <v>1</v>
      </c>
      <c r="J6" t="s">
        <v>1</v>
      </c>
      <c r="K6" t="s">
        <v>1</v>
      </c>
      <c r="L6" t="s">
        <v>1</v>
      </c>
      <c r="M6" t="s">
        <v>1</v>
      </c>
      <c r="N6" t="s">
        <v>1</v>
      </c>
      <c r="O6" t="s">
        <v>1</v>
      </c>
      <c r="P6" t="s">
        <v>1</v>
      </c>
      <c r="Q6" t="s">
        <v>1</v>
      </c>
      <c r="R6" t="s">
        <v>1</v>
      </c>
      <c r="S6" t="s">
        <v>1</v>
      </c>
      <c r="T6" t="s">
        <v>1</v>
      </c>
      <c r="U6" t="s">
        <v>1</v>
      </c>
      <c r="V6" t="s">
        <v>1</v>
      </c>
      <c r="W6" t="s">
        <v>1</v>
      </c>
      <c r="X6" t="s">
        <v>1</v>
      </c>
      <c r="Y6" t="s">
        <v>1</v>
      </c>
      <c r="Z6" t="s">
        <v>1</v>
      </c>
      <c r="AA6" t="s">
        <v>1</v>
      </c>
      <c r="AB6" t="s">
        <v>1</v>
      </c>
      <c r="AC6" t="s">
        <v>1</v>
      </c>
      <c r="AD6" t="s">
        <v>1</v>
      </c>
      <c r="AE6" t="s">
        <v>1</v>
      </c>
      <c r="AF6" t="s">
        <v>1</v>
      </c>
      <c r="AG6" t="s">
        <v>1</v>
      </c>
      <c r="AH6" t="s">
        <v>1</v>
      </c>
      <c r="AI6" t="s">
        <v>1</v>
      </c>
      <c r="AJ6" t="s">
        <v>1</v>
      </c>
      <c r="AK6" t="s">
        <v>1</v>
      </c>
      <c r="AL6" t="s">
        <v>1</v>
      </c>
      <c r="AM6" t="s">
        <v>1</v>
      </c>
      <c r="AN6">
        <v>5</v>
      </c>
      <c r="AO6">
        <f t="shared" si="2"/>
        <v>5</v>
      </c>
      <c r="AP6">
        <f t="shared" si="0"/>
        <v>1</v>
      </c>
      <c r="AQ6">
        <f t="shared" si="1"/>
        <v>1</v>
      </c>
      <c r="AR6" t="s">
        <v>1355</v>
      </c>
      <c r="AS6" t="s">
        <v>1356</v>
      </c>
      <c r="AT6" t="s">
        <v>706</v>
      </c>
      <c r="AU6" t="s">
        <v>1</v>
      </c>
      <c r="AV6" t="s">
        <v>1</v>
      </c>
      <c r="AW6">
        <v>-18.18</v>
      </c>
      <c r="AX6">
        <v>30.45</v>
      </c>
      <c r="AY6" t="s">
        <v>737</v>
      </c>
      <c r="AZ6">
        <f t="shared" si="3"/>
        <v>57.76</v>
      </c>
      <c r="BA6" s="3">
        <v>3</v>
      </c>
      <c r="BB6" s="3"/>
      <c r="BC6" s="3"/>
      <c r="BD6" s="23" t="s">
        <v>1291</v>
      </c>
      <c r="BE6" s="3" t="s">
        <v>932</v>
      </c>
      <c r="BF6" t="s">
        <v>1462</v>
      </c>
      <c r="BG6" s="24" t="s">
        <v>733</v>
      </c>
      <c r="BH6" s="24" t="s">
        <v>733</v>
      </c>
      <c r="BI6" s="24" t="s">
        <v>733</v>
      </c>
      <c r="BJ6" s="24" t="s">
        <v>732</v>
      </c>
      <c r="BK6" s="24" t="s">
        <v>733</v>
      </c>
      <c r="BL6" s="25" t="s">
        <v>733</v>
      </c>
      <c r="BM6" s="24" t="s">
        <v>733</v>
      </c>
      <c r="BN6" s="24" t="s">
        <v>732</v>
      </c>
      <c r="BO6" s="24" t="s">
        <v>733</v>
      </c>
      <c r="BP6" s="24" t="s">
        <v>733</v>
      </c>
      <c r="BQ6" s="24" t="s">
        <v>945</v>
      </c>
      <c r="BR6" s="24" t="s">
        <v>945</v>
      </c>
      <c r="BS6" s="24" t="s">
        <v>934</v>
      </c>
      <c r="BT6" s="24" t="s">
        <v>934</v>
      </c>
      <c r="BU6" s="24" t="s">
        <v>934</v>
      </c>
      <c r="BV6" s="24" t="s">
        <v>934</v>
      </c>
      <c r="BW6" s="24" t="s">
        <v>934</v>
      </c>
      <c r="BX6" s="24" t="s">
        <v>934</v>
      </c>
      <c r="BY6" s="25" t="s">
        <v>945</v>
      </c>
      <c r="BZ6" t="s">
        <v>5</v>
      </c>
      <c r="CB6" t="s">
        <v>1</v>
      </c>
      <c r="CC6" s="4">
        <v>4394</v>
      </c>
      <c r="CD6" s="4"/>
      <c r="CE6" s="4"/>
      <c r="CF6" t="s">
        <v>793</v>
      </c>
      <c r="CG6">
        <v>100</v>
      </c>
      <c r="CH6" t="s">
        <v>805</v>
      </c>
      <c r="CI6" s="1">
        <v>0.75</v>
      </c>
      <c r="CJ6" s="9" t="s">
        <v>1</v>
      </c>
      <c r="CK6" t="s">
        <v>807</v>
      </c>
      <c r="CL6" s="4">
        <f>891.44*10000/1000</f>
        <v>8914.4</v>
      </c>
      <c r="CM6" t="s">
        <v>847</v>
      </c>
      <c r="CN6" s="4">
        <f>10.748*10000/1000</f>
        <v>107.48</v>
      </c>
      <c r="CO6" s="4"/>
      <c r="CP6" s="4" t="s">
        <v>1</v>
      </c>
      <c r="CQ6" s="4" t="s">
        <v>1</v>
      </c>
      <c r="CR6" s="4" t="s">
        <v>1</v>
      </c>
      <c r="CS6" s="4" t="s">
        <v>1</v>
      </c>
      <c r="CT6" s="4" t="s">
        <v>1</v>
      </c>
      <c r="CU6" s="4" t="s">
        <v>1</v>
      </c>
      <c r="CV6" t="s">
        <v>853</v>
      </c>
      <c r="CW6">
        <v>100</v>
      </c>
      <c r="CX6">
        <v>0</v>
      </c>
      <c r="CY6">
        <v>34</v>
      </c>
      <c r="CZ6" t="s">
        <v>1358</v>
      </c>
      <c r="DA6" t="s">
        <v>734</v>
      </c>
      <c r="DB6">
        <v>90</v>
      </c>
      <c r="DC6">
        <v>0</v>
      </c>
      <c r="DD6">
        <v>34</v>
      </c>
      <c r="DE6" t="s">
        <v>1358</v>
      </c>
      <c r="DF6" t="s">
        <v>735</v>
      </c>
      <c r="DG6">
        <v>6</v>
      </c>
      <c r="DH6">
        <v>0</v>
      </c>
      <c r="DI6">
        <v>34</v>
      </c>
      <c r="DJ6" t="s">
        <v>1358</v>
      </c>
      <c r="DK6" t="s">
        <v>736</v>
      </c>
      <c r="DL6">
        <v>4</v>
      </c>
      <c r="DM6">
        <v>0</v>
      </c>
      <c r="DN6">
        <v>34</v>
      </c>
      <c r="DO6" t="s">
        <v>1358</v>
      </c>
      <c r="DP6" t="s">
        <v>6</v>
      </c>
      <c r="DQ6" t="s">
        <v>812</v>
      </c>
      <c r="DR6">
        <v>4.5</v>
      </c>
      <c r="DS6">
        <v>0</v>
      </c>
      <c r="DT6">
        <v>34</v>
      </c>
      <c r="DU6" t="s">
        <v>1358</v>
      </c>
      <c r="EA6" t="s">
        <v>982</v>
      </c>
      <c r="EB6">
        <v>3.5999999999999996</v>
      </c>
      <c r="EC6">
        <v>0</v>
      </c>
      <c r="ED6">
        <v>34</v>
      </c>
      <c r="EE6" t="s">
        <v>1358</v>
      </c>
      <c r="FZ6" t="s">
        <v>806</v>
      </c>
      <c r="GA6">
        <v>451.8</v>
      </c>
      <c r="GE6" s="26" t="s">
        <v>1358</v>
      </c>
      <c r="HA6" s="5" t="s">
        <v>1069</v>
      </c>
      <c r="HB6" s="4">
        <v>1.6</v>
      </c>
      <c r="HC6">
        <v>0</v>
      </c>
      <c r="HD6">
        <v>34</v>
      </c>
      <c r="HE6" s="26" t="s">
        <v>1358</v>
      </c>
      <c r="HF6" s="5" t="s">
        <v>1063</v>
      </c>
      <c r="HG6" s="4">
        <v>0.44000000000000006</v>
      </c>
      <c r="HH6">
        <v>0</v>
      </c>
      <c r="HI6">
        <v>34</v>
      </c>
      <c r="HJ6" s="26" t="s">
        <v>1358</v>
      </c>
      <c r="HK6" t="s">
        <v>1</v>
      </c>
      <c r="HL6" t="s">
        <v>1</v>
      </c>
      <c r="HM6" t="s">
        <v>1</v>
      </c>
      <c r="HN6" t="s">
        <v>1</v>
      </c>
      <c r="HO6" t="s">
        <v>1</v>
      </c>
      <c r="HP6" t="s">
        <v>1</v>
      </c>
      <c r="HQ6" t="s">
        <v>1</v>
      </c>
      <c r="HR6" t="s">
        <v>1</v>
      </c>
      <c r="HS6" t="s">
        <v>1</v>
      </c>
      <c r="HT6" t="s">
        <v>1</v>
      </c>
      <c r="HU6" t="s">
        <v>1</v>
      </c>
      <c r="HV6" t="s">
        <v>1</v>
      </c>
      <c r="HZ6" t="s">
        <v>966</v>
      </c>
      <c r="IA6">
        <v>100</v>
      </c>
      <c r="IB6" s="5" t="s">
        <v>1</v>
      </c>
      <c r="IC6" s="5"/>
      <c r="ID6" s="5"/>
      <c r="IE6" s="10" t="s">
        <v>1</v>
      </c>
      <c r="IF6" s="10" t="s">
        <v>1</v>
      </c>
      <c r="IG6" s="10"/>
      <c r="IH6" s="10"/>
      <c r="II6" s="10"/>
      <c r="IJ6" s="10"/>
      <c r="IK6" s="10"/>
      <c r="IL6" s="10"/>
      <c r="IM6" s="10"/>
      <c r="IN6" s="10"/>
      <c r="IO6" s="10"/>
      <c r="IP6" s="10"/>
      <c r="IQ6" s="10"/>
      <c r="IR6" s="10"/>
      <c r="IS6" t="s">
        <v>1</v>
      </c>
      <c r="IT6" t="s">
        <v>1</v>
      </c>
      <c r="IU6" t="s">
        <v>1</v>
      </c>
      <c r="IV6" s="27" t="s">
        <v>1</v>
      </c>
      <c r="IW6" t="s">
        <v>1</v>
      </c>
      <c r="IX6" t="s">
        <v>1</v>
      </c>
      <c r="IY6" t="s">
        <v>1</v>
      </c>
      <c r="IZ6" t="s">
        <v>1</v>
      </c>
      <c r="JA6" t="s">
        <v>1</v>
      </c>
      <c r="JB6" s="4" t="s">
        <v>1</v>
      </c>
      <c r="JC6" t="s">
        <v>1</v>
      </c>
      <c r="JD6" s="4" t="s">
        <v>1</v>
      </c>
      <c r="JE6" t="s">
        <v>1</v>
      </c>
      <c r="JF6" t="s">
        <v>1</v>
      </c>
      <c r="JR6" t="s">
        <v>1066</v>
      </c>
      <c r="JS6">
        <v>186.8</v>
      </c>
      <c r="JU6" t="s">
        <v>1</v>
      </c>
      <c r="JW6" t="s">
        <v>1</v>
      </c>
      <c r="JX6">
        <v>0</v>
      </c>
      <c r="JY6">
        <v>30</v>
      </c>
      <c r="JZ6" t="s">
        <v>794</v>
      </c>
      <c r="KA6" t="s">
        <v>7</v>
      </c>
      <c r="KB6" t="s">
        <v>738</v>
      </c>
      <c r="KC6" t="s">
        <v>1</v>
      </c>
      <c r="KD6" t="s">
        <v>1</v>
      </c>
      <c r="KE6" t="s">
        <v>1</v>
      </c>
      <c r="KF6" t="s">
        <v>1</v>
      </c>
      <c r="KG6" t="s">
        <v>1</v>
      </c>
      <c r="KH6" t="s">
        <v>1</v>
      </c>
      <c r="KI6" t="s">
        <v>1</v>
      </c>
      <c r="KJ6" t="s">
        <v>1</v>
      </c>
      <c r="KK6" t="s">
        <v>1</v>
      </c>
    </row>
    <row r="7" spans="1:297" x14ac:dyDescent="0.2">
      <c r="A7">
        <v>6</v>
      </c>
      <c r="B7" t="s">
        <v>705</v>
      </c>
      <c r="C7" t="s">
        <v>12</v>
      </c>
      <c r="D7" t="s">
        <v>2</v>
      </c>
      <c r="E7">
        <v>1</v>
      </c>
      <c r="F7" t="s">
        <v>3</v>
      </c>
      <c r="G7" t="s">
        <v>1</v>
      </c>
      <c r="H7" t="s">
        <v>1420</v>
      </c>
      <c r="I7" t="s">
        <v>1</v>
      </c>
      <c r="J7" t="s">
        <v>1</v>
      </c>
      <c r="K7" t="s">
        <v>1</v>
      </c>
      <c r="L7" t="s">
        <v>1</v>
      </c>
      <c r="M7" t="s">
        <v>1</v>
      </c>
      <c r="N7" t="s">
        <v>1</v>
      </c>
      <c r="O7" t="s">
        <v>1</v>
      </c>
      <c r="P7" t="s">
        <v>1</v>
      </c>
      <c r="Q7" t="s">
        <v>1</v>
      </c>
      <c r="R7" t="s">
        <v>1</v>
      </c>
      <c r="S7" t="s">
        <v>1</v>
      </c>
      <c r="T7" t="s">
        <v>1</v>
      </c>
      <c r="U7" t="s">
        <v>1</v>
      </c>
      <c r="V7" t="s">
        <v>1</v>
      </c>
      <c r="W7" t="s">
        <v>1</v>
      </c>
      <c r="X7" t="s">
        <v>1</v>
      </c>
      <c r="Y7" t="s">
        <v>1</v>
      </c>
      <c r="Z7" t="s">
        <v>1</v>
      </c>
      <c r="AA7" t="s">
        <v>1</v>
      </c>
      <c r="AB7" t="s">
        <v>1</v>
      </c>
      <c r="AC7" t="s">
        <v>1</v>
      </c>
      <c r="AD7" t="s">
        <v>1</v>
      </c>
      <c r="AE7" t="s">
        <v>1</v>
      </c>
      <c r="AF7" t="s">
        <v>1</v>
      </c>
      <c r="AG7" t="s">
        <v>1</v>
      </c>
      <c r="AH7" t="s">
        <v>1</v>
      </c>
      <c r="AI7" t="s">
        <v>1</v>
      </c>
      <c r="AJ7" t="s">
        <v>1</v>
      </c>
      <c r="AK7" t="s">
        <v>1</v>
      </c>
      <c r="AL7" t="s">
        <v>1</v>
      </c>
      <c r="AM7" t="s">
        <v>1</v>
      </c>
      <c r="AN7">
        <v>6</v>
      </c>
      <c r="AO7">
        <f t="shared" si="2"/>
        <v>6</v>
      </c>
      <c r="AP7">
        <f t="shared" si="0"/>
        <v>1</v>
      </c>
      <c r="AQ7">
        <f t="shared" si="1"/>
        <v>1</v>
      </c>
      <c r="AR7" t="s">
        <v>1355</v>
      </c>
      <c r="AS7" t="s">
        <v>1356</v>
      </c>
      <c r="AT7" t="s">
        <v>706</v>
      </c>
      <c r="AU7" t="s">
        <v>1</v>
      </c>
      <c r="AV7" t="s">
        <v>1</v>
      </c>
      <c r="AW7">
        <v>-18.18</v>
      </c>
      <c r="AX7">
        <v>30.45</v>
      </c>
      <c r="AY7" t="s">
        <v>737</v>
      </c>
      <c r="AZ7">
        <f t="shared" si="3"/>
        <v>57.76</v>
      </c>
      <c r="BA7" s="3">
        <v>3</v>
      </c>
      <c r="BB7" s="3"/>
      <c r="BC7" s="3"/>
      <c r="BD7" s="23" t="s">
        <v>1291</v>
      </c>
      <c r="BE7" s="3" t="s">
        <v>932</v>
      </c>
      <c r="BF7" t="s">
        <v>1462</v>
      </c>
      <c r="BG7" s="24" t="s">
        <v>733</v>
      </c>
      <c r="BH7" s="24" t="s">
        <v>733</v>
      </c>
      <c r="BI7" s="24" t="s">
        <v>733</v>
      </c>
      <c r="BJ7" s="24" t="s">
        <v>732</v>
      </c>
      <c r="BK7" s="24" t="s">
        <v>733</v>
      </c>
      <c r="BL7" s="25" t="s">
        <v>733</v>
      </c>
      <c r="BM7" s="24" t="s">
        <v>733</v>
      </c>
      <c r="BN7" s="24" t="s">
        <v>732</v>
      </c>
      <c r="BO7" s="24" t="s">
        <v>733</v>
      </c>
      <c r="BP7" s="24" t="s">
        <v>733</v>
      </c>
      <c r="BQ7" s="24" t="s">
        <v>945</v>
      </c>
      <c r="BR7" s="24" t="s">
        <v>945</v>
      </c>
      <c r="BS7" s="24" t="s">
        <v>934</v>
      </c>
      <c r="BT7" s="24" t="s">
        <v>934</v>
      </c>
      <c r="BU7" s="24" t="s">
        <v>934</v>
      </c>
      <c r="BV7" s="24" t="s">
        <v>934</v>
      </c>
      <c r="BW7" s="24" t="s">
        <v>934</v>
      </c>
      <c r="BX7" s="24" t="s">
        <v>934</v>
      </c>
      <c r="BY7" s="25" t="s">
        <v>945</v>
      </c>
      <c r="BZ7" t="s">
        <v>5</v>
      </c>
      <c r="CB7" t="s">
        <v>1</v>
      </c>
      <c r="CC7" s="4">
        <v>3691</v>
      </c>
      <c r="CD7" s="4"/>
      <c r="CE7" s="4"/>
      <c r="CF7" t="s">
        <v>793</v>
      </c>
      <c r="CG7">
        <v>100</v>
      </c>
      <c r="CH7" t="s">
        <v>805</v>
      </c>
      <c r="CI7" s="1">
        <v>0.75</v>
      </c>
      <c r="CJ7" s="9" t="s">
        <v>1</v>
      </c>
      <c r="CK7" t="s">
        <v>807</v>
      </c>
      <c r="CL7" s="4">
        <f>766.59*10000/1000</f>
        <v>7665.9</v>
      </c>
      <c r="CM7" t="s">
        <v>847</v>
      </c>
      <c r="CN7" s="4">
        <f>11.102*10000/1000</f>
        <v>111.02</v>
      </c>
      <c r="CO7" s="4"/>
      <c r="CP7" s="4" t="s">
        <v>1</v>
      </c>
      <c r="CQ7" s="4" t="s">
        <v>1</v>
      </c>
      <c r="CR7" s="4" t="s">
        <v>1</v>
      </c>
      <c r="CS7" s="4" t="s">
        <v>1</v>
      </c>
      <c r="CT7" s="4" t="s">
        <v>1</v>
      </c>
      <c r="CU7" s="4" t="s">
        <v>1</v>
      </c>
      <c r="CV7" t="s">
        <v>853</v>
      </c>
      <c r="CW7">
        <v>100</v>
      </c>
      <c r="CX7">
        <v>0</v>
      </c>
      <c r="CY7">
        <v>34</v>
      </c>
      <c r="CZ7" t="s">
        <v>1358</v>
      </c>
      <c r="DA7" t="s">
        <v>734</v>
      </c>
      <c r="DB7">
        <v>90</v>
      </c>
      <c r="DC7">
        <v>0</v>
      </c>
      <c r="DD7">
        <v>34</v>
      </c>
      <c r="DE7" t="s">
        <v>1358</v>
      </c>
      <c r="DF7" t="s">
        <v>735</v>
      </c>
      <c r="DG7">
        <v>6</v>
      </c>
      <c r="DH7">
        <v>0</v>
      </c>
      <c r="DI7">
        <v>34</v>
      </c>
      <c r="DJ7" t="s">
        <v>1358</v>
      </c>
      <c r="DK7" t="s">
        <v>736</v>
      </c>
      <c r="DL7">
        <v>4</v>
      </c>
      <c r="DM7">
        <v>0</v>
      </c>
      <c r="DN7">
        <v>34</v>
      </c>
      <c r="DO7" t="s">
        <v>1358</v>
      </c>
      <c r="DP7" t="s">
        <v>6</v>
      </c>
      <c r="DQ7" t="s">
        <v>812</v>
      </c>
      <c r="DR7">
        <v>4.5</v>
      </c>
      <c r="DS7">
        <v>0</v>
      </c>
      <c r="DT7">
        <v>34</v>
      </c>
      <c r="DU7" t="s">
        <v>1358</v>
      </c>
      <c r="EA7" t="s">
        <v>982</v>
      </c>
      <c r="EB7">
        <v>3.5999999999999996</v>
      </c>
      <c r="EC7">
        <v>0</v>
      </c>
      <c r="ED7">
        <v>34</v>
      </c>
      <c r="EE7" t="s">
        <v>1358</v>
      </c>
      <c r="FZ7" t="s">
        <v>806</v>
      </c>
      <c r="GA7">
        <v>451.8</v>
      </c>
      <c r="GE7" s="26" t="s">
        <v>1358</v>
      </c>
      <c r="HA7" s="5" t="s">
        <v>1069</v>
      </c>
      <c r="HB7" s="4">
        <v>1.6</v>
      </c>
      <c r="HC7">
        <v>0</v>
      </c>
      <c r="HD7">
        <v>34</v>
      </c>
      <c r="HE7" s="26" t="s">
        <v>1358</v>
      </c>
      <c r="HF7" s="5" t="s">
        <v>1063</v>
      </c>
      <c r="HG7" s="4">
        <v>0.44000000000000006</v>
      </c>
      <c r="HH7">
        <v>0</v>
      </c>
      <c r="HI7">
        <v>34</v>
      </c>
      <c r="HJ7" s="26" t="s">
        <v>1358</v>
      </c>
      <c r="HK7" t="s">
        <v>1</v>
      </c>
      <c r="HL7" t="s">
        <v>1</v>
      </c>
      <c r="HM7" t="s">
        <v>1</v>
      </c>
      <c r="HN7" t="s">
        <v>1</v>
      </c>
      <c r="HO7" t="s">
        <v>1</v>
      </c>
      <c r="HP7" t="s">
        <v>1</v>
      </c>
      <c r="HQ7" t="s">
        <v>1</v>
      </c>
      <c r="HR7" t="s">
        <v>1</v>
      </c>
      <c r="HS7" t="s">
        <v>1</v>
      </c>
      <c r="HT7" t="s">
        <v>1</v>
      </c>
      <c r="HU7" t="s">
        <v>1</v>
      </c>
      <c r="HV7" t="s">
        <v>1</v>
      </c>
      <c r="HZ7" t="s">
        <v>966</v>
      </c>
      <c r="IA7">
        <v>100</v>
      </c>
      <c r="IB7" s="5" t="s">
        <v>1</v>
      </c>
      <c r="IC7" s="5"/>
      <c r="ID7" s="5"/>
      <c r="IE7" s="10" t="s">
        <v>1</v>
      </c>
      <c r="IF7" s="10" t="s">
        <v>1</v>
      </c>
      <c r="IG7" s="10"/>
      <c r="IH7" s="10"/>
      <c r="II7" s="10"/>
      <c r="IJ7" s="10"/>
      <c r="IK7" s="10"/>
      <c r="IL7" s="10"/>
      <c r="IM7" s="10"/>
      <c r="IN7" s="10"/>
      <c r="IO7" s="10"/>
      <c r="IP7" s="10"/>
      <c r="IQ7" s="10"/>
      <c r="IR7" s="10"/>
      <c r="IS7" t="s">
        <v>1</v>
      </c>
      <c r="IT7" t="s">
        <v>1</v>
      </c>
      <c r="IU7" t="s">
        <v>1</v>
      </c>
      <c r="IV7" t="s">
        <v>1</v>
      </c>
      <c r="IW7" t="s">
        <v>1</v>
      </c>
      <c r="IX7" t="s">
        <v>1</v>
      </c>
      <c r="IY7" t="s">
        <v>1</v>
      </c>
      <c r="IZ7" t="s">
        <v>1</v>
      </c>
      <c r="JA7" t="s">
        <v>1</v>
      </c>
      <c r="JB7" s="4" t="s">
        <v>1</v>
      </c>
      <c r="JC7" t="s">
        <v>1</v>
      </c>
      <c r="JD7" s="4" t="s">
        <v>1</v>
      </c>
      <c r="JE7" t="s">
        <v>1</v>
      </c>
      <c r="JF7" t="s">
        <v>1</v>
      </c>
      <c r="JR7" t="s">
        <v>1066</v>
      </c>
      <c r="JS7">
        <v>38.5</v>
      </c>
      <c r="JU7" t="s">
        <v>1</v>
      </c>
      <c r="JW7" t="s">
        <v>1</v>
      </c>
      <c r="JX7">
        <v>0</v>
      </c>
      <c r="JY7">
        <v>30</v>
      </c>
      <c r="JZ7" t="s">
        <v>794</v>
      </c>
      <c r="KA7" t="s">
        <v>7</v>
      </c>
      <c r="KB7" t="s">
        <v>738</v>
      </c>
      <c r="KC7" t="s">
        <v>1</v>
      </c>
      <c r="KD7" t="s">
        <v>1</v>
      </c>
      <c r="KE7" t="s">
        <v>1</v>
      </c>
      <c r="KF7" t="s">
        <v>1</v>
      </c>
      <c r="KG7" t="s">
        <v>1</v>
      </c>
      <c r="KH7" t="s">
        <v>1</v>
      </c>
      <c r="KI7" t="s">
        <v>1</v>
      </c>
      <c r="KJ7" t="s">
        <v>1</v>
      </c>
      <c r="KK7" t="s">
        <v>1</v>
      </c>
    </row>
    <row r="8" spans="1:297" x14ac:dyDescent="0.2">
      <c r="A8">
        <v>7</v>
      </c>
      <c r="B8" t="s">
        <v>705</v>
      </c>
      <c r="C8" t="s">
        <v>14</v>
      </c>
      <c r="D8" t="s">
        <v>13</v>
      </c>
      <c r="E8">
        <v>2</v>
      </c>
      <c r="F8" t="s">
        <v>698</v>
      </c>
      <c r="G8" t="s">
        <v>13</v>
      </c>
      <c r="H8" s="26" t="s">
        <v>1420</v>
      </c>
      <c r="I8" t="s">
        <v>743</v>
      </c>
      <c r="J8">
        <v>1986</v>
      </c>
      <c r="K8">
        <v>41</v>
      </c>
      <c r="L8">
        <v>2</v>
      </c>
      <c r="M8" t="s">
        <v>744</v>
      </c>
      <c r="N8" t="s">
        <v>1</v>
      </c>
      <c r="O8" t="s">
        <v>745</v>
      </c>
      <c r="P8">
        <v>1</v>
      </c>
      <c r="Q8" t="s">
        <v>740</v>
      </c>
      <c r="R8" t="s">
        <v>741</v>
      </c>
      <c r="S8" t="b">
        <v>0</v>
      </c>
      <c r="T8" t="s">
        <v>1</v>
      </c>
      <c r="U8" t="s">
        <v>1</v>
      </c>
      <c r="V8" t="s">
        <v>1</v>
      </c>
      <c r="W8" t="s">
        <v>1</v>
      </c>
      <c r="X8" t="s">
        <v>1</v>
      </c>
      <c r="Y8" t="s">
        <v>1</v>
      </c>
      <c r="Z8" t="s">
        <v>1</v>
      </c>
      <c r="AA8" t="s">
        <v>1</v>
      </c>
      <c r="AB8" t="s">
        <v>1</v>
      </c>
      <c r="AC8" t="s">
        <v>1</v>
      </c>
      <c r="AD8" t="s">
        <v>1</v>
      </c>
      <c r="AE8" t="s">
        <v>1</v>
      </c>
      <c r="AF8" t="s">
        <v>1</v>
      </c>
      <c r="AG8" t="s">
        <v>1</v>
      </c>
      <c r="AH8" t="s">
        <v>1</v>
      </c>
      <c r="AI8" t="s">
        <v>1</v>
      </c>
      <c r="AJ8" t="s">
        <v>1</v>
      </c>
      <c r="AK8" t="s">
        <v>1</v>
      </c>
      <c r="AL8" t="s">
        <v>1</v>
      </c>
      <c r="AM8" t="s">
        <v>1</v>
      </c>
      <c r="AN8">
        <v>7</v>
      </c>
      <c r="AO8">
        <f t="shared" si="2"/>
        <v>7</v>
      </c>
      <c r="AP8">
        <f t="shared" si="0"/>
        <v>2</v>
      </c>
      <c r="AQ8">
        <f t="shared" si="1"/>
        <v>2</v>
      </c>
      <c r="AR8" s="26" t="s">
        <v>1355</v>
      </c>
      <c r="AS8" s="26" t="s">
        <v>1356</v>
      </c>
      <c r="AT8" t="s">
        <v>707</v>
      </c>
      <c r="AU8" t="s">
        <v>1</v>
      </c>
      <c r="AV8" t="s">
        <v>1</v>
      </c>
      <c r="AW8">
        <v>3.9</v>
      </c>
      <c r="AX8">
        <v>11.5</v>
      </c>
      <c r="AY8" t="s">
        <v>737</v>
      </c>
      <c r="BA8" s="3">
        <v>3</v>
      </c>
      <c r="BB8" s="3"/>
      <c r="BC8" s="3"/>
      <c r="BD8" s="3"/>
      <c r="BE8" s="3"/>
      <c r="BF8">
        <v>1977</v>
      </c>
      <c r="BG8" s="24" t="s">
        <v>733</v>
      </c>
      <c r="BH8" s="24" t="s">
        <v>733</v>
      </c>
      <c r="BI8" s="24" t="s">
        <v>733</v>
      </c>
      <c r="BJ8" s="24" t="s">
        <v>732</v>
      </c>
      <c r="BK8" s="24" t="s">
        <v>733</v>
      </c>
      <c r="BL8" s="25" t="s">
        <v>733</v>
      </c>
      <c r="BM8" s="24" t="s">
        <v>733</v>
      </c>
      <c r="BN8" s="24" t="s">
        <v>732</v>
      </c>
      <c r="BO8" s="24" t="s">
        <v>733</v>
      </c>
      <c r="BP8" s="24" t="s">
        <v>733</v>
      </c>
      <c r="BQ8" s="24" t="s">
        <v>945</v>
      </c>
      <c r="BR8" s="24" t="s">
        <v>945</v>
      </c>
      <c r="BS8" s="25" t="s">
        <v>934</v>
      </c>
      <c r="BT8" s="24" t="s">
        <v>934</v>
      </c>
      <c r="BU8" s="24" t="s">
        <v>934</v>
      </c>
      <c r="BV8" s="24" t="s">
        <v>934</v>
      </c>
      <c r="BW8" s="24" t="s">
        <v>934</v>
      </c>
      <c r="BX8" s="24" t="s">
        <v>934</v>
      </c>
      <c r="BY8" s="25" t="s">
        <v>945</v>
      </c>
      <c r="BZ8" t="s">
        <v>1397</v>
      </c>
      <c r="CB8" t="s">
        <v>15</v>
      </c>
      <c r="CC8" s="4">
        <f>(2500+1350+2150+950)/4</f>
        <v>1737.5</v>
      </c>
      <c r="CD8" s="4"/>
      <c r="CE8" s="4"/>
      <c r="CF8" t="s">
        <v>793</v>
      </c>
      <c r="CG8">
        <v>100</v>
      </c>
      <c r="CH8" t="s">
        <v>805</v>
      </c>
      <c r="CI8" s="1">
        <f>AVERAGE(1.8,1.5)</f>
        <v>1.65</v>
      </c>
      <c r="CJ8" s="10" t="s">
        <v>1442</v>
      </c>
      <c r="CK8" t="s">
        <v>807</v>
      </c>
      <c r="CL8" s="4">
        <v>3625</v>
      </c>
      <c r="CM8" t="s">
        <v>848</v>
      </c>
      <c r="CN8" s="4">
        <f>140/4</f>
        <v>35</v>
      </c>
      <c r="CO8" s="4"/>
      <c r="CP8" s="4" t="s">
        <v>1</v>
      </c>
      <c r="CQ8" s="4" t="s">
        <v>1</v>
      </c>
      <c r="CR8" s="4" t="s">
        <v>1</v>
      </c>
      <c r="CS8" s="4" t="s">
        <v>1</v>
      </c>
      <c r="CT8" s="4" t="s">
        <v>1</v>
      </c>
      <c r="CU8" s="4" t="s">
        <v>1</v>
      </c>
      <c r="CV8" t="s">
        <v>855</v>
      </c>
      <c r="CW8">
        <v>100</v>
      </c>
      <c r="CX8">
        <v>0</v>
      </c>
      <c r="CY8">
        <v>20</v>
      </c>
      <c r="CZ8" s="26" t="s">
        <v>1358</v>
      </c>
      <c r="DA8" t="s">
        <v>734</v>
      </c>
      <c r="DB8">
        <v>55.8</v>
      </c>
      <c r="DC8">
        <v>0</v>
      </c>
      <c r="DD8">
        <v>20</v>
      </c>
      <c r="DE8" s="26" t="s">
        <v>1358</v>
      </c>
      <c r="DF8" t="s">
        <v>735</v>
      </c>
      <c r="DG8">
        <v>31.8</v>
      </c>
      <c r="DH8">
        <v>0</v>
      </c>
      <c r="DI8">
        <v>20</v>
      </c>
      <c r="DJ8" s="26" t="s">
        <v>1358</v>
      </c>
      <c r="DK8" t="s">
        <v>736</v>
      </c>
      <c r="DL8">
        <v>12.4</v>
      </c>
      <c r="DM8">
        <v>0</v>
      </c>
      <c r="DN8">
        <v>20</v>
      </c>
      <c r="DO8" s="26" t="s">
        <v>1358</v>
      </c>
      <c r="DP8" t="s">
        <v>6</v>
      </c>
      <c r="DQ8" t="s">
        <v>813</v>
      </c>
      <c r="DR8">
        <v>5.8</v>
      </c>
      <c r="DS8">
        <v>0</v>
      </c>
      <c r="DT8">
        <v>20</v>
      </c>
      <c r="DU8" s="26" t="s">
        <v>1358</v>
      </c>
      <c r="EA8" t="s">
        <v>982</v>
      </c>
      <c r="EB8">
        <v>3.9000000000000004</v>
      </c>
      <c r="EC8">
        <v>0</v>
      </c>
      <c r="ED8">
        <v>20</v>
      </c>
      <c r="EE8" s="26" t="s">
        <v>1358</v>
      </c>
      <c r="EF8" s="26"/>
      <c r="FZ8" t="s">
        <v>806</v>
      </c>
      <c r="GA8">
        <v>736.75</v>
      </c>
      <c r="GE8" s="26" t="s">
        <v>1358</v>
      </c>
      <c r="HA8" s="5" t="s">
        <v>1</v>
      </c>
      <c r="HB8" s="4" t="s">
        <v>1</v>
      </c>
      <c r="HC8" t="s">
        <v>1</v>
      </c>
      <c r="HD8" t="s">
        <v>1</v>
      </c>
      <c r="HE8" t="s">
        <v>1</v>
      </c>
      <c r="HF8" s="5" t="s">
        <v>1063</v>
      </c>
      <c r="HG8" s="4">
        <v>0.42</v>
      </c>
      <c r="HH8">
        <v>0</v>
      </c>
      <c r="HI8">
        <v>20</v>
      </c>
      <c r="HJ8" s="26" t="s">
        <v>1358</v>
      </c>
      <c r="HK8" t="s">
        <v>815</v>
      </c>
      <c r="HL8">
        <v>1.1000000000000001</v>
      </c>
      <c r="HM8">
        <v>0</v>
      </c>
      <c r="HN8">
        <v>20</v>
      </c>
      <c r="HO8" t="s">
        <v>1</v>
      </c>
      <c r="HP8" s="26" t="s">
        <v>1358</v>
      </c>
      <c r="HZ8" t="s">
        <v>1295</v>
      </c>
      <c r="IA8">
        <v>50</v>
      </c>
      <c r="IB8" s="5" t="s">
        <v>818</v>
      </c>
      <c r="IC8" s="5"/>
      <c r="ID8" s="5"/>
      <c r="IE8" s="10" t="s">
        <v>1</v>
      </c>
      <c r="IF8" s="10" t="s">
        <v>1</v>
      </c>
      <c r="IG8" s="10"/>
      <c r="IH8" s="10"/>
      <c r="II8" s="10"/>
      <c r="IJ8" s="10"/>
      <c r="IK8" s="10"/>
      <c r="IL8" s="10"/>
      <c r="IM8" s="10"/>
      <c r="IN8" s="10"/>
      <c r="IO8" s="10"/>
      <c r="IP8" s="10"/>
      <c r="IQ8" s="10"/>
      <c r="IR8" s="10"/>
      <c r="IS8" t="s">
        <v>1</v>
      </c>
      <c r="IT8" t="s">
        <v>1</v>
      </c>
      <c r="IW8" t="s">
        <v>1</v>
      </c>
      <c r="IX8" t="s">
        <v>1</v>
      </c>
      <c r="IY8" t="s">
        <v>1</v>
      </c>
      <c r="IZ8" t="s">
        <v>1</v>
      </c>
      <c r="JA8" t="s">
        <v>1065</v>
      </c>
      <c r="JB8" s="4">
        <v>5.5</v>
      </c>
      <c r="JC8" t="s">
        <v>1</v>
      </c>
      <c r="JD8" s="4" t="s">
        <v>1</v>
      </c>
      <c r="JE8" t="s">
        <v>1</v>
      </c>
      <c r="JF8" t="s">
        <v>1</v>
      </c>
      <c r="JR8" t="s">
        <v>1066</v>
      </c>
      <c r="JS8">
        <v>19.899999999999999</v>
      </c>
      <c r="JU8" t="s">
        <v>1</v>
      </c>
      <c r="JW8" t="s">
        <v>1</v>
      </c>
      <c r="JX8">
        <v>0</v>
      </c>
      <c r="JY8">
        <v>80</v>
      </c>
      <c r="JZ8" t="s">
        <v>796</v>
      </c>
      <c r="KA8" t="s">
        <v>16</v>
      </c>
      <c r="KB8" t="s">
        <v>738</v>
      </c>
      <c r="KC8" t="s">
        <v>1</v>
      </c>
      <c r="KD8" t="s">
        <v>1</v>
      </c>
      <c r="KE8" t="s">
        <v>1</v>
      </c>
      <c r="KF8" t="s">
        <v>1</v>
      </c>
      <c r="KG8" t="s">
        <v>1</v>
      </c>
      <c r="KH8" t="s">
        <v>1</v>
      </c>
      <c r="KI8" t="s">
        <v>1</v>
      </c>
      <c r="KJ8" t="s">
        <v>1</v>
      </c>
      <c r="KK8" t="s">
        <v>1</v>
      </c>
    </row>
    <row r="9" spans="1:297" x14ac:dyDescent="0.2">
      <c r="A9">
        <v>8</v>
      </c>
      <c r="B9" t="s">
        <v>705</v>
      </c>
      <c r="C9" t="s">
        <v>17</v>
      </c>
      <c r="D9" t="s">
        <v>13</v>
      </c>
      <c r="E9">
        <v>2</v>
      </c>
      <c r="F9" t="s">
        <v>698</v>
      </c>
      <c r="G9" t="s">
        <v>13</v>
      </c>
      <c r="H9" s="26" t="s">
        <v>1420</v>
      </c>
      <c r="I9" t="s">
        <v>743</v>
      </c>
      <c r="J9">
        <v>1986</v>
      </c>
      <c r="K9">
        <v>41</v>
      </c>
      <c r="L9">
        <v>2</v>
      </c>
      <c r="M9" t="s">
        <v>744</v>
      </c>
      <c r="N9" t="s">
        <v>1</v>
      </c>
      <c r="O9" t="s">
        <v>745</v>
      </c>
      <c r="P9">
        <v>1</v>
      </c>
      <c r="Q9" t="s">
        <v>740</v>
      </c>
      <c r="R9" t="s">
        <v>741</v>
      </c>
      <c r="S9" t="b">
        <v>0</v>
      </c>
      <c r="T9" t="s">
        <v>1</v>
      </c>
      <c r="U9" t="s">
        <v>1</v>
      </c>
      <c r="V9" t="s">
        <v>1</v>
      </c>
      <c r="W9" t="s">
        <v>1</v>
      </c>
      <c r="X9" t="s">
        <v>1</v>
      </c>
      <c r="Y9" t="s">
        <v>1</v>
      </c>
      <c r="Z9" t="s">
        <v>1</v>
      </c>
      <c r="AA9" t="s">
        <v>1</v>
      </c>
      <c r="AB9" t="s">
        <v>1</v>
      </c>
      <c r="AC9" t="s">
        <v>1</v>
      </c>
      <c r="AD9" t="s">
        <v>1</v>
      </c>
      <c r="AE9" t="s">
        <v>1</v>
      </c>
      <c r="AF9" t="s">
        <v>1</v>
      </c>
      <c r="AG9" t="s">
        <v>1</v>
      </c>
      <c r="AH9" t="s">
        <v>1</v>
      </c>
      <c r="AI9" t="s">
        <v>1</v>
      </c>
      <c r="AJ9" t="s">
        <v>1</v>
      </c>
      <c r="AK9" t="s">
        <v>1</v>
      </c>
      <c r="AL9" t="s">
        <v>1</v>
      </c>
      <c r="AM9" t="s">
        <v>1</v>
      </c>
      <c r="AN9">
        <v>8</v>
      </c>
      <c r="AO9">
        <f t="shared" si="2"/>
        <v>8</v>
      </c>
      <c r="AP9">
        <f t="shared" si="0"/>
        <v>2</v>
      </c>
      <c r="AQ9">
        <f t="shared" si="1"/>
        <v>2</v>
      </c>
      <c r="AR9" s="26" t="s">
        <v>1355</v>
      </c>
      <c r="AS9" s="26" t="s">
        <v>1356</v>
      </c>
      <c r="AT9" t="s">
        <v>707</v>
      </c>
      <c r="AU9" t="s">
        <v>1</v>
      </c>
      <c r="AV9" t="s">
        <v>1</v>
      </c>
      <c r="AW9">
        <v>3.9</v>
      </c>
      <c r="AX9">
        <v>11.5</v>
      </c>
      <c r="AY9" t="s">
        <v>737</v>
      </c>
      <c r="BA9" s="3">
        <v>3</v>
      </c>
      <c r="BB9" s="3"/>
      <c r="BC9" s="3"/>
      <c r="BD9" s="3"/>
      <c r="BE9" s="3"/>
      <c r="BF9">
        <v>1977</v>
      </c>
      <c r="BG9" s="24" t="s">
        <v>733</v>
      </c>
      <c r="BH9" s="24" t="s">
        <v>733</v>
      </c>
      <c r="BI9" s="24" t="s">
        <v>733</v>
      </c>
      <c r="BJ9" s="24" t="s">
        <v>732</v>
      </c>
      <c r="BK9" s="24" t="s">
        <v>733</v>
      </c>
      <c r="BL9" s="25" t="s">
        <v>733</v>
      </c>
      <c r="BM9" s="24" t="s">
        <v>733</v>
      </c>
      <c r="BN9" s="24" t="s">
        <v>732</v>
      </c>
      <c r="BO9" s="24" t="s">
        <v>733</v>
      </c>
      <c r="BP9" s="24" t="s">
        <v>733</v>
      </c>
      <c r="BQ9" s="24" t="s">
        <v>945</v>
      </c>
      <c r="BR9" s="24" t="s">
        <v>945</v>
      </c>
      <c r="BS9" s="25" t="s">
        <v>934</v>
      </c>
      <c r="BT9" s="24" t="s">
        <v>934</v>
      </c>
      <c r="BU9" s="24" t="s">
        <v>934</v>
      </c>
      <c r="BV9" s="24" t="s">
        <v>934</v>
      </c>
      <c r="BW9" s="24" t="s">
        <v>934</v>
      </c>
      <c r="BX9" s="24" t="s">
        <v>934</v>
      </c>
      <c r="BY9" s="25" t="s">
        <v>945</v>
      </c>
      <c r="BZ9" t="s">
        <v>1397</v>
      </c>
      <c r="CB9" t="s">
        <v>15</v>
      </c>
      <c r="CC9" s="4">
        <f>(4200+3250+4350+1650)/4</f>
        <v>3362.5</v>
      </c>
      <c r="CD9" s="4"/>
      <c r="CE9" s="4"/>
      <c r="CF9" t="s">
        <v>793</v>
      </c>
      <c r="CG9">
        <v>100</v>
      </c>
      <c r="CH9" t="s">
        <v>805</v>
      </c>
      <c r="CI9" s="1">
        <f>AVERAGE(1.8,1.5)</f>
        <v>1.65</v>
      </c>
      <c r="CJ9" s="10" t="s">
        <v>1442</v>
      </c>
      <c r="CK9" t="s">
        <v>807</v>
      </c>
      <c r="CL9" s="4">
        <v>5737.5</v>
      </c>
      <c r="CM9" t="s">
        <v>848</v>
      </c>
      <c r="CN9" s="4">
        <f>268/4</f>
        <v>67</v>
      </c>
      <c r="CO9" s="4"/>
      <c r="CP9" s="4" t="s">
        <v>1</v>
      </c>
      <c r="CQ9" s="4" t="s">
        <v>1</v>
      </c>
      <c r="CR9" s="4" t="s">
        <v>1</v>
      </c>
      <c r="CS9" s="4" t="s">
        <v>1</v>
      </c>
      <c r="CT9" s="4" t="s">
        <v>1</v>
      </c>
      <c r="CU9" s="4" t="s">
        <v>1</v>
      </c>
      <c r="CV9" t="s">
        <v>855</v>
      </c>
      <c r="CW9">
        <v>100</v>
      </c>
      <c r="CX9">
        <v>0</v>
      </c>
      <c r="CY9">
        <v>20</v>
      </c>
      <c r="CZ9" s="26" t="s">
        <v>1358</v>
      </c>
      <c r="DA9" t="s">
        <v>734</v>
      </c>
      <c r="DB9">
        <v>55.8</v>
      </c>
      <c r="DC9">
        <v>0</v>
      </c>
      <c r="DD9">
        <v>20</v>
      </c>
      <c r="DE9" s="26" t="s">
        <v>1358</v>
      </c>
      <c r="DF9" t="s">
        <v>735</v>
      </c>
      <c r="DG9">
        <v>31.8</v>
      </c>
      <c r="DH9">
        <v>0</v>
      </c>
      <c r="DI9">
        <v>20</v>
      </c>
      <c r="DJ9" s="26" t="s">
        <v>1358</v>
      </c>
      <c r="DK9" t="s">
        <v>736</v>
      </c>
      <c r="DL9">
        <v>12.4</v>
      </c>
      <c r="DM9">
        <v>0</v>
      </c>
      <c r="DN9">
        <v>20</v>
      </c>
      <c r="DO9" s="26" t="s">
        <v>1358</v>
      </c>
      <c r="DP9" t="s">
        <v>6</v>
      </c>
      <c r="DQ9" t="s">
        <v>813</v>
      </c>
      <c r="DR9">
        <v>5.8</v>
      </c>
      <c r="DS9">
        <v>0</v>
      </c>
      <c r="DT9">
        <v>20</v>
      </c>
      <c r="DU9" s="26" t="s">
        <v>1358</v>
      </c>
      <c r="EA9" t="s">
        <v>982</v>
      </c>
      <c r="EB9">
        <v>3.9000000000000004</v>
      </c>
      <c r="EC9">
        <v>0</v>
      </c>
      <c r="ED9">
        <v>20</v>
      </c>
      <c r="EE9" s="26" t="s">
        <v>1358</v>
      </c>
      <c r="EF9" s="26"/>
      <c r="FZ9" t="s">
        <v>806</v>
      </c>
      <c r="GA9">
        <v>736.75</v>
      </c>
      <c r="GE9" s="26" t="s">
        <v>1358</v>
      </c>
      <c r="HA9" s="5" t="s">
        <v>1</v>
      </c>
      <c r="HB9" s="4" t="s">
        <v>1</v>
      </c>
      <c r="HC9" t="s">
        <v>1</v>
      </c>
      <c r="HD9" t="s">
        <v>1</v>
      </c>
      <c r="HE9" t="s">
        <v>1</v>
      </c>
      <c r="HF9" s="5" t="s">
        <v>1063</v>
      </c>
      <c r="HG9" s="4">
        <v>0.42</v>
      </c>
      <c r="HH9">
        <v>0</v>
      </c>
      <c r="HI9">
        <v>20</v>
      </c>
      <c r="HJ9" s="26" t="s">
        <v>1358</v>
      </c>
      <c r="HK9" t="s">
        <v>815</v>
      </c>
      <c r="HL9">
        <v>1.1000000000000001</v>
      </c>
      <c r="HM9">
        <v>0</v>
      </c>
      <c r="HN9">
        <v>20</v>
      </c>
      <c r="HO9" t="s">
        <v>1</v>
      </c>
      <c r="HP9" s="26" t="s">
        <v>1358</v>
      </c>
      <c r="HZ9" t="s">
        <v>1295</v>
      </c>
      <c r="IA9">
        <v>100</v>
      </c>
      <c r="IB9" s="5" t="s">
        <v>818</v>
      </c>
      <c r="IC9" s="5"/>
      <c r="ID9" s="5"/>
      <c r="IE9" s="10" t="s">
        <v>1</v>
      </c>
      <c r="IF9" s="10" t="s">
        <v>1</v>
      </c>
      <c r="IG9" s="10"/>
      <c r="IH9" s="10"/>
      <c r="II9" s="10"/>
      <c r="IJ9" s="10"/>
      <c r="IK9" s="10"/>
      <c r="IL9" s="10"/>
      <c r="IM9" s="10"/>
      <c r="IN9" s="10"/>
      <c r="IO9" s="10"/>
      <c r="IP9" s="10"/>
      <c r="IQ9" s="10"/>
      <c r="IR9" s="10"/>
      <c r="IS9" t="s">
        <v>1</v>
      </c>
      <c r="IT9" t="s">
        <v>1</v>
      </c>
      <c r="IW9" t="s">
        <v>1</v>
      </c>
      <c r="IX9" t="s">
        <v>1</v>
      </c>
      <c r="IY9" t="s">
        <v>1</v>
      </c>
      <c r="IZ9" t="s">
        <v>1</v>
      </c>
      <c r="JA9" t="s">
        <v>1065</v>
      </c>
      <c r="JB9" s="4">
        <v>5.5</v>
      </c>
      <c r="JC9" t="s">
        <v>1</v>
      </c>
      <c r="JD9" s="4" t="s">
        <v>1</v>
      </c>
      <c r="JE9" t="s">
        <v>1</v>
      </c>
      <c r="JF9" t="s">
        <v>1</v>
      </c>
      <c r="JR9" t="s">
        <v>1066</v>
      </c>
      <c r="JS9">
        <v>29.9</v>
      </c>
      <c r="JU9" t="s">
        <v>1</v>
      </c>
      <c r="JW9" t="s">
        <v>1</v>
      </c>
      <c r="JX9">
        <v>0</v>
      </c>
      <c r="JY9">
        <v>80</v>
      </c>
      <c r="JZ9" t="s">
        <v>796</v>
      </c>
      <c r="KA9" t="s">
        <v>16</v>
      </c>
      <c r="KB9" t="s">
        <v>738</v>
      </c>
      <c r="KC9" t="s">
        <v>1</v>
      </c>
      <c r="KD9" t="s">
        <v>1</v>
      </c>
      <c r="KE9" t="s">
        <v>1</v>
      </c>
      <c r="KF9" t="s">
        <v>1</v>
      </c>
      <c r="KG9" t="s">
        <v>1</v>
      </c>
      <c r="KH9" t="s">
        <v>1</v>
      </c>
      <c r="KI9" t="s">
        <v>1</v>
      </c>
      <c r="KJ9" t="s">
        <v>1</v>
      </c>
      <c r="KK9" t="s">
        <v>1</v>
      </c>
    </row>
    <row r="10" spans="1:297" x14ac:dyDescent="0.2">
      <c r="A10">
        <v>9</v>
      </c>
      <c r="B10" t="s">
        <v>705</v>
      </c>
      <c r="C10" t="s">
        <v>18</v>
      </c>
      <c r="D10" t="s">
        <v>13</v>
      </c>
      <c r="E10">
        <v>2</v>
      </c>
      <c r="F10" t="s">
        <v>698</v>
      </c>
      <c r="G10" t="s">
        <v>13</v>
      </c>
      <c r="H10" s="26" t="s">
        <v>1420</v>
      </c>
      <c r="I10" t="s">
        <v>743</v>
      </c>
      <c r="J10">
        <v>1986</v>
      </c>
      <c r="K10">
        <v>41</v>
      </c>
      <c r="L10">
        <v>2</v>
      </c>
      <c r="M10" t="s">
        <v>744</v>
      </c>
      <c r="N10" t="s">
        <v>1</v>
      </c>
      <c r="O10" t="s">
        <v>745</v>
      </c>
      <c r="P10">
        <v>1</v>
      </c>
      <c r="Q10" t="s">
        <v>740</v>
      </c>
      <c r="R10" t="s">
        <v>741</v>
      </c>
      <c r="S10" t="b">
        <v>0</v>
      </c>
      <c r="T10" t="s">
        <v>1</v>
      </c>
      <c r="U10" t="s">
        <v>1</v>
      </c>
      <c r="V10" t="s">
        <v>1</v>
      </c>
      <c r="W10" t="s">
        <v>1</v>
      </c>
      <c r="X10" t="s">
        <v>1</v>
      </c>
      <c r="Y10" t="s">
        <v>1</v>
      </c>
      <c r="Z10" t="s">
        <v>1</v>
      </c>
      <c r="AA10" t="s">
        <v>1</v>
      </c>
      <c r="AB10" t="s">
        <v>1</v>
      </c>
      <c r="AC10" t="s">
        <v>1</v>
      </c>
      <c r="AD10" t="s">
        <v>1</v>
      </c>
      <c r="AE10" t="s">
        <v>1</v>
      </c>
      <c r="AF10" t="s">
        <v>1</v>
      </c>
      <c r="AG10" t="s">
        <v>1</v>
      </c>
      <c r="AH10" t="s">
        <v>1</v>
      </c>
      <c r="AI10" t="s">
        <v>1</v>
      </c>
      <c r="AJ10" t="s">
        <v>1</v>
      </c>
      <c r="AK10" t="s">
        <v>1</v>
      </c>
      <c r="AL10" t="s">
        <v>1</v>
      </c>
      <c r="AM10" t="s">
        <v>1</v>
      </c>
      <c r="AN10">
        <v>9</v>
      </c>
      <c r="AO10">
        <f t="shared" si="2"/>
        <v>9</v>
      </c>
      <c r="AP10">
        <f t="shared" si="0"/>
        <v>2</v>
      </c>
      <c r="AQ10">
        <f t="shared" si="1"/>
        <v>2</v>
      </c>
      <c r="AR10" s="26" t="s">
        <v>1355</v>
      </c>
      <c r="AS10" s="26" t="s">
        <v>1356</v>
      </c>
      <c r="AT10" t="s">
        <v>707</v>
      </c>
      <c r="AU10" t="s">
        <v>1</v>
      </c>
      <c r="AV10" t="s">
        <v>1</v>
      </c>
      <c r="AW10">
        <v>3.9</v>
      </c>
      <c r="AX10">
        <v>11.5</v>
      </c>
      <c r="AY10" t="s">
        <v>737</v>
      </c>
      <c r="BA10" s="3">
        <v>3</v>
      </c>
      <c r="BB10" s="3"/>
      <c r="BC10" s="3"/>
      <c r="BD10" s="3"/>
      <c r="BE10" s="3"/>
      <c r="BF10">
        <v>1977</v>
      </c>
      <c r="BG10" s="24" t="s">
        <v>733</v>
      </c>
      <c r="BH10" s="24" t="s">
        <v>733</v>
      </c>
      <c r="BI10" s="24" t="s">
        <v>733</v>
      </c>
      <c r="BJ10" s="24" t="s">
        <v>732</v>
      </c>
      <c r="BK10" s="24" t="s">
        <v>733</v>
      </c>
      <c r="BL10" s="25" t="s">
        <v>733</v>
      </c>
      <c r="BM10" s="24" t="s">
        <v>733</v>
      </c>
      <c r="BN10" s="24" t="s">
        <v>732</v>
      </c>
      <c r="BO10" s="24" t="s">
        <v>733</v>
      </c>
      <c r="BP10" s="24" t="s">
        <v>733</v>
      </c>
      <c r="BQ10" s="24" t="s">
        <v>945</v>
      </c>
      <c r="BR10" s="24" t="s">
        <v>945</v>
      </c>
      <c r="BS10" s="25" t="s">
        <v>934</v>
      </c>
      <c r="BT10" s="24" t="s">
        <v>934</v>
      </c>
      <c r="BU10" s="24" t="s">
        <v>934</v>
      </c>
      <c r="BV10" s="24" t="s">
        <v>934</v>
      </c>
      <c r="BW10" s="24" t="s">
        <v>934</v>
      </c>
      <c r="BX10" s="24" t="s">
        <v>934</v>
      </c>
      <c r="BY10" s="25" t="s">
        <v>945</v>
      </c>
      <c r="BZ10" t="s">
        <v>1397</v>
      </c>
      <c r="CB10" t="s">
        <v>15</v>
      </c>
      <c r="CC10" s="4">
        <f>(2900+2150+3100+1200)/4</f>
        <v>2337.5</v>
      </c>
      <c r="CD10" s="4"/>
      <c r="CE10" s="4"/>
      <c r="CF10" t="s">
        <v>793</v>
      </c>
      <c r="CG10">
        <v>100</v>
      </c>
      <c r="CH10" t="s">
        <v>805</v>
      </c>
      <c r="CI10" s="1">
        <f>AVERAGE(1.8,1.5)</f>
        <v>1.65</v>
      </c>
      <c r="CJ10" s="10" t="s">
        <v>1442</v>
      </c>
      <c r="CK10" t="s">
        <v>807</v>
      </c>
      <c r="CL10" s="4">
        <v>4237.5</v>
      </c>
      <c r="CM10" t="s">
        <v>848</v>
      </c>
      <c r="CN10" s="15">
        <f>186/4</f>
        <v>46.5</v>
      </c>
      <c r="CO10" s="15"/>
      <c r="CP10" s="4" t="s">
        <v>1</v>
      </c>
      <c r="CQ10" s="4" t="s">
        <v>1</v>
      </c>
      <c r="CR10" s="4" t="s">
        <v>1</v>
      </c>
      <c r="CS10" s="4" t="s">
        <v>1</v>
      </c>
      <c r="CT10" s="4" t="s">
        <v>1</v>
      </c>
      <c r="CU10" s="4" t="s">
        <v>1</v>
      </c>
      <c r="CV10" t="s">
        <v>855</v>
      </c>
      <c r="CW10">
        <v>100</v>
      </c>
      <c r="CX10">
        <v>0</v>
      </c>
      <c r="CY10">
        <v>20</v>
      </c>
      <c r="CZ10" s="26" t="s">
        <v>1358</v>
      </c>
      <c r="DA10" t="s">
        <v>734</v>
      </c>
      <c r="DB10">
        <v>55.8</v>
      </c>
      <c r="DC10">
        <v>0</v>
      </c>
      <c r="DD10">
        <v>20</v>
      </c>
      <c r="DE10" s="26" t="s">
        <v>1358</v>
      </c>
      <c r="DF10" t="s">
        <v>735</v>
      </c>
      <c r="DG10">
        <v>31.8</v>
      </c>
      <c r="DH10">
        <v>0</v>
      </c>
      <c r="DI10">
        <v>20</v>
      </c>
      <c r="DJ10" s="26" t="s">
        <v>1358</v>
      </c>
      <c r="DK10" t="s">
        <v>736</v>
      </c>
      <c r="DL10">
        <v>12.4</v>
      </c>
      <c r="DM10">
        <v>0</v>
      </c>
      <c r="DN10">
        <v>20</v>
      </c>
      <c r="DO10" s="26" t="s">
        <v>1358</v>
      </c>
      <c r="DP10" t="s">
        <v>6</v>
      </c>
      <c r="DQ10" t="s">
        <v>813</v>
      </c>
      <c r="DR10">
        <v>5.8</v>
      </c>
      <c r="DS10">
        <v>0</v>
      </c>
      <c r="DT10">
        <v>20</v>
      </c>
      <c r="DU10" s="26" t="s">
        <v>1358</v>
      </c>
      <c r="EA10" t="s">
        <v>982</v>
      </c>
      <c r="EB10">
        <v>3.9000000000000004</v>
      </c>
      <c r="EC10">
        <v>0</v>
      </c>
      <c r="ED10">
        <v>20</v>
      </c>
      <c r="EE10" s="26" t="s">
        <v>1358</v>
      </c>
      <c r="EF10" s="26"/>
      <c r="FZ10" t="s">
        <v>806</v>
      </c>
      <c r="GA10">
        <v>736.75</v>
      </c>
      <c r="GE10" s="26" t="s">
        <v>1358</v>
      </c>
      <c r="HA10" s="5" t="s">
        <v>1</v>
      </c>
      <c r="HB10" s="4" t="s">
        <v>1</v>
      </c>
      <c r="HC10" t="s">
        <v>1</v>
      </c>
      <c r="HD10" t="s">
        <v>1</v>
      </c>
      <c r="HE10" t="s">
        <v>1</v>
      </c>
      <c r="HF10" s="5" t="s">
        <v>1063</v>
      </c>
      <c r="HG10" s="4">
        <v>0.42</v>
      </c>
      <c r="HH10">
        <v>0</v>
      </c>
      <c r="HI10">
        <v>20</v>
      </c>
      <c r="HJ10" s="26" t="s">
        <v>1358</v>
      </c>
      <c r="HK10" t="s">
        <v>815</v>
      </c>
      <c r="HL10">
        <v>1.1000000000000001</v>
      </c>
      <c r="HM10">
        <v>0</v>
      </c>
      <c r="HN10">
        <v>20</v>
      </c>
      <c r="HO10" t="s">
        <v>1</v>
      </c>
      <c r="HP10" s="26" t="s">
        <v>1358</v>
      </c>
      <c r="HZ10" t="s">
        <v>1295</v>
      </c>
      <c r="IA10">
        <v>50</v>
      </c>
      <c r="IB10" s="5" t="s">
        <v>818</v>
      </c>
      <c r="IC10" s="5"/>
      <c r="ID10" s="5"/>
      <c r="IE10" s="10" t="s">
        <v>1</v>
      </c>
      <c r="IF10" s="10" t="s">
        <v>1</v>
      </c>
      <c r="IG10" s="10"/>
      <c r="IH10" s="10"/>
      <c r="II10" s="10"/>
      <c r="IJ10" s="10"/>
      <c r="IK10" s="10"/>
      <c r="IL10" s="10"/>
      <c r="IM10" s="10"/>
      <c r="IN10" s="10"/>
      <c r="IO10" s="10"/>
      <c r="IP10" s="10"/>
      <c r="IQ10" s="10"/>
      <c r="IR10" s="10"/>
      <c r="IS10" t="s">
        <v>1</v>
      </c>
      <c r="IT10" t="s">
        <v>1</v>
      </c>
      <c r="IW10" t="s">
        <v>1</v>
      </c>
      <c r="IX10" t="s">
        <v>1</v>
      </c>
      <c r="IY10" t="s">
        <v>1</v>
      </c>
      <c r="IZ10" t="s">
        <v>1</v>
      </c>
      <c r="JA10" t="s">
        <v>1065</v>
      </c>
      <c r="JB10" s="4">
        <v>5.5</v>
      </c>
      <c r="JC10" t="s">
        <v>1</v>
      </c>
      <c r="JD10" s="4" t="s">
        <v>1</v>
      </c>
      <c r="JE10" t="s">
        <v>1</v>
      </c>
      <c r="JF10" t="s">
        <v>1</v>
      </c>
      <c r="JR10" t="s">
        <v>1066</v>
      </c>
      <c r="JS10">
        <v>24.3</v>
      </c>
      <c r="JU10" t="s">
        <v>1</v>
      </c>
      <c r="JW10" t="s">
        <v>1</v>
      </c>
      <c r="JX10">
        <v>0</v>
      </c>
      <c r="JY10">
        <v>80</v>
      </c>
      <c r="JZ10" t="s">
        <v>796</v>
      </c>
      <c r="KA10" t="s">
        <v>16</v>
      </c>
      <c r="KB10" t="s">
        <v>738</v>
      </c>
      <c r="KC10" t="s">
        <v>1</v>
      </c>
      <c r="KD10" t="s">
        <v>1</v>
      </c>
      <c r="KE10" t="s">
        <v>1</v>
      </c>
      <c r="KF10" t="s">
        <v>1</v>
      </c>
      <c r="KG10" t="s">
        <v>1</v>
      </c>
      <c r="KH10" t="s">
        <v>1</v>
      </c>
      <c r="KI10" t="s">
        <v>1</v>
      </c>
      <c r="KJ10" t="s">
        <v>1</v>
      </c>
      <c r="KK10" t="s">
        <v>1</v>
      </c>
    </row>
    <row r="11" spans="1:297" x14ac:dyDescent="0.2">
      <c r="A11">
        <v>10</v>
      </c>
      <c r="B11" t="s">
        <v>705</v>
      </c>
      <c r="C11" t="s">
        <v>21</v>
      </c>
      <c r="D11" t="s">
        <v>19</v>
      </c>
      <c r="E11">
        <v>3</v>
      </c>
      <c r="F11" t="s">
        <v>20</v>
      </c>
      <c r="G11" t="s">
        <v>19</v>
      </c>
      <c r="H11" s="26" t="s">
        <v>1420</v>
      </c>
      <c r="I11" t="s">
        <v>747</v>
      </c>
      <c r="J11">
        <v>1990</v>
      </c>
      <c r="K11">
        <v>38</v>
      </c>
      <c r="L11" t="s">
        <v>1</v>
      </c>
      <c r="M11" t="s">
        <v>748</v>
      </c>
      <c r="N11" t="s">
        <v>1</v>
      </c>
      <c r="O11" t="s">
        <v>749</v>
      </c>
      <c r="P11">
        <v>2</v>
      </c>
      <c r="Q11" t="s">
        <v>746</v>
      </c>
      <c r="R11" t="s">
        <v>742</v>
      </c>
      <c r="S11" t="b">
        <v>0</v>
      </c>
      <c r="T11" t="s">
        <v>1</v>
      </c>
      <c r="U11" t="s">
        <v>1</v>
      </c>
      <c r="V11" t="s">
        <v>1</v>
      </c>
      <c r="W11" t="s">
        <v>1</v>
      </c>
      <c r="X11" t="s">
        <v>1</v>
      </c>
      <c r="Y11" t="s">
        <v>1</v>
      </c>
      <c r="Z11" t="s">
        <v>1</v>
      </c>
      <c r="AA11" t="s">
        <v>1</v>
      </c>
      <c r="AB11" t="s">
        <v>1</v>
      </c>
      <c r="AC11" t="s">
        <v>1</v>
      </c>
      <c r="AD11" t="s">
        <v>1</v>
      </c>
      <c r="AE11" t="s">
        <v>1</v>
      </c>
      <c r="AF11" t="s">
        <v>1</v>
      </c>
      <c r="AG11" t="s">
        <v>1</v>
      </c>
      <c r="AH11" t="s">
        <v>1</v>
      </c>
      <c r="AI11" t="s">
        <v>1</v>
      </c>
      <c r="AJ11" t="s">
        <v>1</v>
      </c>
      <c r="AK11" t="s">
        <v>1</v>
      </c>
      <c r="AL11" t="s">
        <v>1</v>
      </c>
      <c r="AM11" t="s">
        <v>1</v>
      </c>
      <c r="AN11">
        <v>10</v>
      </c>
      <c r="AO11">
        <f t="shared" si="2"/>
        <v>10</v>
      </c>
      <c r="AP11">
        <f t="shared" si="0"/>
        <v>3</v>
      </c>
      <c r="AQ11">
        <f t="shared" si="1"/>
        <v>3</v>
      </c>
      <c r="AR11" s="26" t="s">
        <v>1355</v>
      </c>
      <c r="AS11" s="26" t="s">
        <v>1356</v>
      </c>
      <c r="AT11" t="s">
        <v>708</v>
      </c>
      <c r="AU11" t="s">
        <v>1</v>
      </c>
      <c r="AV11" t="s">
        <v>1</v>
      </c>
      <c r="AW11">
        <v>25.44</v>
      </c>
      <c r="AX11">
        <v>91.83</v>
      </c>
      <c r="AY11" t="s">
        <v>737</v>
      </c>
      <c r="BA11" s="3">
        <v>2</v>
      </c>
      <c r="BB11" s="3"/>
      <c r="BC11" s="3"/>
      <c r="BD11" s="3"/>
      <c r="BE11" s="3"/>
      <c r="BF11">
        <v>1986</v>
      </c>
      <c r="BG11" s="24" t="s">
        <v>733</v>
      </c>
      <c r="BH11" s="24" t="s">
        <v>733</v>
      </c>
      <c r="BI11" s="24" t="s">
        <v>733</v>
      </c>
      <c r="BJ11" s="24" t="s">
        <v>732</v>
      </c>
      <c r="BK11" s="24" t="s">
        <v>733</v>
      </c>
      <c r="BL11" s="25" t="s">
        <v>733</v>
      </c>
      <c r="BM11" s="24" t="s">
        <v>733</v>
      </c>
      <c r="BN11" s="24" t="s">
        <v>732</v>
      </c>
      <c r="BO11" s="24" t="s">
        <v>733</v>
      </c>
      <c r="BP11" s="24" t="s">
        <v>733</v>
      </c>
      <c r="BQ11" s="24" t="s">
        <v>945</v>
      </c>
      <c r="BR11" s="24" t="s">
        <v>945</v>
      </c>
      <c r="BS11" s="25" t="s">
        <v>934</v>
      </c>
      <c r="BT11" s="24" t="s">
        <v>934</v>
      </c>
      <c r="BU11" s="24" t="s">
        <v>934</v>
      </c>
      <c r="BV11" s="24" t="s">
        <v>934</v>
      </c>
      <c r="BW11" s="24" t="s">
        <v>934</v>
      </c>
      <c r="BX11" s="24" t="s">
        <v>934</v>
      </c>
      <c r="BY11" s="25" t="s">
        <v>945</v>
      </c>
      <c r="BZ11" t="s">
        <v>22</v>
      </c>
      <c r="CB11" t="s">
        <v>1</v>
      </c>
      <c r="CC11" s="4">
        <v>3214.9298504562857</v>
      </c>
      <c r="CD11" s="4"/>
      <c r="CE11" s="4"/>
      <c r="CF11" t="s">
        <v>793</v>
      </c>
      <c r="CG11">
        <v>100</v>
      </c>
      <c r="CH11" t="s">
        <v>805</v>
      </c>
      <c r="CI11" s="28">
        <v>0.6</v>
      </c>
      <c r="CJ11" s="10" t="s">
        <v>1442</v>
      </c>
      <c r="CK11" t="s">
        <v>807</v>
      </c>
      <c r="CL11" s="4">
        <v>1241.4085561167835</v>
      </c>
      <c r="CM11" t="s">
        <v>1024</v>
      </c>
      <c r="CN11" s="4">
        <v>71.3</v>
      </c>
      <c r="CO11" s="4"/>
      <c r="CP11" s="4" t="s">
        <v>1</v>
      </c>
      <c r="CQ11" s="4" t="s">
        <v>1</v>
      </c>
      <c r="CR11" s="4" t="s">
        <v>1</v>
      </c>
      <c r="CS11" s="4" t="s">
        <v>1</v>
      </c>
      <c r="CT11" s="4" t="s">
        <v>1</v>
      </c>
      <c r="CU11" s="4" t="s">
        <v>1</v>
      </c>
      <c r="CV11" t="s">
        <v>854</v>
      </c>
      <c r="CW11">
        <v>100</v>
      </c>
      <c r="CX11">
        <v>0</v>
      </c>
      <c r="CY11">
        <v>60</v>
      </c>
      <c r="CZ11" s="26" t="s">
        <v>1358</v>
      </c>
      <c r="DA11" t="s">
        <v>734</v>
      </c>
      <c r="DB11">
        <v>56.5</v>
      </c>
      <c r="DC11">
        <v>0</v>
      </c>
      <c r="DD11">
        <v>60</v>
      </c>
      <c r="DE11" s="26" t="s">
        <v>1358</v>
      </c>
      <c r="DF11" t="s">
        <v>735</v>
      </c>
      <c r="DG11">
        <v>21.5</v>
      </c>
      <c r="DH11">
        <v>0</v>
      </c>
      <c r="DI11">
        <v>60</v>
      </c>
      <c r="DJ11" s="26" t="s">
        <v>1358</v>
      </c>
      <c r="DK11" t="s">
        <v>736</v>
      </c>
      <c r="DL11">
        <v>22</v>
      </c>
      <c r="DM11">
        <v>0</v>
      </c>
      <c r="DN11">
        <v>60</v>
      </c>
      <c r="DO11" s="26" t="s">
        <v>1358</v>
      </c>
      <c r="DP11" t="s">
        <v>6</v>
      </c>
      <c r="DQ11" t="s">
        <v>1</v>
      </c>
      <c r="DR11">
        <v>5</v>
      </c>
      <c r="DS11">
        <v>0</v>
      </c>
      <c r="DT11">
        <v>60</v>
      </c>
      <c r="DU11" s="26" t="s">
        <v>1358</v>
      </c>
      <c r="EA11" t="s">
        <v>982</v>
      </c>
      <c r="EB11">
        <v>7</v>
      </c>
      <c r="EC11">
        <v>0</v>
      </c>
      <c r="ED11">
        <v>60</v>
      </c>
      <c r="EE11" s="26" t="s">
        <v>1358</v>
      </c>
      <c r="EF11" s="26"/>
      <c r="FZ11" t="s">
        <v>806</v>
      </c>
      <c r="GA11">
        <v>1006.5</v>
      </c>
      <c r="GE11" s="26" t="s">
        <v>1358</v>
      </c>
      <c r="HA11" s="5" t="s">
        <v>1</v>
      </c>
      <c r="HB11" s="4" t="s">
        <v>1</v>
      </c>
      <c r="HC11" t="s">
        <v>1</v>
      </c>
      <c r="HD11" t="s">
        <v>1</v>
      </c>
      <c r="HE11" t="s">
        <v>1</v>
      </c>
      <c r="HF11" s="5" t="s">
        <v>1063</v>
      </c>
      <c r="HG11" s="4">
        <v>0.63194444444444453</v>
      </c>
      <c r="HH11">
        <v>0</v>
      </c>
      <c r="HI11">
        <v>60</v>
      </c>
      <c r="HJ11" s="26" t="s">
        <v>1358</v>
      </c>
      <c r="HK11" t="s">
        <v>815</v>
      </c>
      <c r="HL11">
        <v>1.6</v>
      </c>
      <c r="HM11">
        <v>0</v>
      </c>
      <c r="HN11">
        <v>60</v>
      </c>
      <c r="HO11" t="s">
        <v>1</v>
      </c>
      <c r="HP11" s="26" t="s">
        <v>1358</v>
      </c>
      <c r="HZ11" t="s">
        <v>1</v>
      </c>
      <c r="IA11" t="s">
        <v>1</v>
      </c>
      <c r="IB11" s="10" t="s">
        <v>1</v>
      </c>
      <c r="IC11" s="10"/>
      <c r="ID11" s="10"/>
      <c r="IE11" s="10" t="s">
        <v>1</v>
      </c>
      <c r="IF11" s="10" t="s">
        <v>1</v>
      </c>
      <c r="IG11" s="10"/>
      <c r="IH11" s="10"/>
      <c r="II11" s="10"/>
      <c r="IJ11" s="10"/>
      <c r="IK11" s="10"/>
      <c r="IL11" s="10"/>
      <c r="IM11" s="10"/>
      <c r="IN11" s="10"/>
      <c r="IO11" s="10"/>
      <c r="IP11" s="10"/>
      <c r="IQ11" s="10"/>
      <c r="IR11" s="10"/>
      <c r="IS11" t="s">
        <v>1</v>
      </c>
      <c r="IT11" t="s">
        <v>1</v>
      </c>
      <c r="IW11" t="s">
        <v>1</v>
      </c>
      <c r="IX11" t="s">
        <v>1</v>
      </c>
      <c r="IY11" t="s">
        <v>1</v>
      </c>
      <c r="IZ11" t="s">
        <v>1</v>
      </c>
      <c r="JA11" t="s">
        <v>1</v>
      </c>
      <c r="JB11" s="3" t="s">
        <v>1</v>
      </c>
      <c r="JC11" t="s">
        <v>1</v>
      </c>
      <c r="JD11" s="4" t="s">
        <v>1</v>
      </c>
      <c r="JE11" t="s">
        <v>810</v>
      </c>
      <c r="JF11">
        <v>100</v>
      </c>
      <c r="JR11" t="s">
        <v>1066</v>
      </c>
      <c r="JS11">
        <v>85</v>
      </c>
      <c r="JU11" t="s">
        <v>1</v>
      </c>
      <c r="JW11" t="s">
        <v>1</v>
      </c>
      <c r="JX11">
        <v>0</v>
      </c>
      <c r="JY11">
        <v>60</v>
      </c>
      <c r="JZ11" t="s">
        <v>796</v>
      </c>
      <c r="KA11" t="s">
        <v>16</v>
      </c>
      <c r="KB11" t="s">
        <v>738</v>
      </c>
      <c r="KC11" t="s">
        <v>1</v>
      </c>
      <c r="KD11" t="s">
        <v>1</v>
      </c>
      <c r="KE11" t="s">
        <v>1</v>
      </c>
      <c r="KF11" t="s">
        <v>1</v>
      </c>
      <c r="KG11" t="s">
        <v>1</v>
      </c>
      <c r="KH11" t="s">
        <v>1</v>
      </c>
      <c r="KI11" t="s">
        <v>1</v>
      </c>
      <c r="KJ11" t="s">
        <v>1</v>
      </c>
      <c r="KK11" t="s">
        <v>1</v>
      </c>
    </row>
    <row r="12" spans="1:297" x14ac:dyDescent="0.2">
      <c r="A12">
        <v>11</v>
      </c>
      <c r="B12" t="s">
        <v>705</v>
      </c>
      <c r="C12" t="s">
        <v>23</v>
      </c>
      <c r="D12" t="s">
        <v>19</v>
      </c>
      <c r="E12">
        <v>3</v>
      </c>
      <c r="F12" t="s">
        <v>20</v>
      </c>
      <c r="G12" t="s">
        <v>19</v>
      </c>
      <c r="H12" s="26" t="s">
        <v>1420</v>
      </c>
      <c r="I12" t="s">
        <v>747</v>
      </c>
      <c r="J12">
        <v>1990</v>
      </c>
      <c r="K12">
        <v>38</v>
      </c>
      <c r="L12" t="s">
        <v>1</v>
      </c>
      <c r="M12" t="s">
        <v>748</v>
      </c>
      <c r="N12" t="s">
        <v>1</v>
      </c>
      <c r="O12" t="s">
        <v>749</v>
      </c>
      <c r="P12">
        <v>2</v>
      </c>
      <c r="Q12" t="s">
        <v>746</v>
      </c>
      <c r="R12" t="s">
        <v>742</v>
      </c>
      <c r="S12" t="b">
        <v>0</v>
      </c>
      <c r="T12" t="s">
        <v>1</v>
      </c>
      <c r="U12" t="s">
        <v>1</v>
      </c>
      <c r="V12" t="s">
        <v>1</v>
      </c>
      <c r="W12" t="s">
        <v>1</v>
      </c>
      <c r="X12" t="s">
        <v>1</v>
      </c>
      <c r="Y12" t="s">
        <v>1</v>
      </c>
      <c r="Z12" t="s">
        <v>1</v>
      </c>
      <c r="AA12" t="s">
        <v>1</v>
      </c>
      <c r="AB12" t="s">
        <v>1</v>
      </c>
      <c r="AC12" t="s">
        <v>1</v>
      </c>
      <c r="AD12" t="s">
        <v>1</v>
      </c>
      <c r="AE12" t="s">
        <v>1</v>
      </c>
      <c r="AF12" t="s">
        <v>1</v>
      </c>
      <c r="AG12" t="s">
        <v>1</v>
      </c>
      <c r="AH12" t="s">
        <v>1</v>
      </c>
      <c r="AI12" t="s">
        <v>1</v>
      </c>
      <c r="AJ12" t="s">
        <v>1</v>
      </c>
      <c r="AK12" t="s">
        <v>1</v>
      </c>
      <c r="AL12" t="s">
        <v>1</v>
      </c>
      <c r="AM12" t="s">
        <v>1</v>
      </c>
      <c r="AN12">
        <v>11</v>
      </c>
      <c r="AO12">
        <f t="shared" si="2"/>
        <v>11</v>
      </c>
      <c r="AP12">
        <f t="shared" si="0"/>
        <v>3</v>
      </c>
      <c r="AQ12">
        <f t="shared" si="1"/>
        <v>3</v>
      </c>
      <c r="AR12" s="26" t="s">
        <v>1355</v>
      </c>
      <c r="AS12" s="26" t="s">
        <v>1356</v>
      </c>
      <c r="AT12" t="s">
        <v>708</v>
      </c>
      <c r="AU12" t="s">
        <v>1</v>
      </c>
      <c r="AV12" t="s">
        <v>1</v>
      </c>
      <c r="AW12">
        <v>25.44</v>
      </c>
      <c r="AX12">
        <v>91.83</v>
      </c>
      <c r="AY12" t="s">
        <v>737</v>
      </c>
      <c r="BA12" s="3">
        <v>2</v>
      </c>
      <c r="BB12" s="3"/>
      <c r="BC12" s="3"/>
      <c r="BD12" s="3"/>
      <c r="BE12" s="3"/>
      <c r="BF12">
        <v>1986</v>
      </c>
      <c r="BG12" s="24" t="s">
        <v>733</v>
      </c>
      <c r="BH12" s="24" t="s">
        <v>733</v>
      </c>
      <c r="BI12" s="24" t="s">
        <v>733</v>
      </c>
      <c r="BJ12" s="24" t="s">
        <v>732</v>
      </c>
      <c r="BK12" s="24" t="s">
        <v>733</v>
      </c>
      <c r="BL12" s="25" t="s">
        <v>733</v>
      </c>
      <c r="BM12" s="24" t="s">
        <v>733</v>
      </c>
      <c r="BN12" s="24" t="s">
        <v>732</v>
      </c>
      <c r="BO12" s="24" t="s">
        <v>733</v>
      </c>
      <c r="BP12" s="24" t="s">
        <v>733</v>
      </c>
      <c r="BQ12" s="24" t="s">
        <v>945</v>
      </c>
      <c r="BR12" s="24" t="s">
        <v>945</v>
      </c>
      <c r="BS12" s="25" t="s">
        <v>934</v>
      </c>
      <c r="BT12" s="24" t="s">
        <v>934</v>
      </c>
      <c r="BU12" s="24" t="s">
        <v>934</v>
      </c>
      <c r="BV12" s="24" t="s">
        <v>934</v>
      </c>
      <c r="BW12" s="24" t="s">
        <v>934</v>
      </c>
      <c r="BX12" s="24" t="s">
        <v>934</v>
      </c>
      <c r="BY12" s="25" t="s">
        <v>945</v>
      </c>
      <c r="BZ12" t="s">
        <v>22</v>
      </c>
      <c r="CB12" t="s">
        <v>1</v>
      </c>
      <c r="CC12" s="4">
        <v>4106.1975317708993</v>
      </c>
      <c r="CD12" s="4"/>
      <c r="CE12" s="4"/>
      <c r="CF12" t="s">
        <v>793</v>
      </c>
      <c r="CG12">
        <v>100</v>
      </c>
      <c r="CH12" t="s">
        <v>805</v>
      </c>
      <c r="CI12" s="28">
        <v>0.6</v>
      </c>
      <c r="CJ12" s="10" t="s">
        <v>1442</v>
      </c>
      <c r="CK12" t="s">
        <v>807</v>
      </c>
      <c r="CL12" s="4">
        <v>1432.3944878270579</v>
      </c>
      <c r="CM12" t="s">
        <v>1024</v>
      </c>
      <c r="CN12" s="4">
        <v>102.5</v>
      </c>
      <c r="CO12" s="4"/>
      <c r="CP12" s="4" t="s">
        <v>1</v>
      </c>
      <c r="CQ12" s="4" t="s">
        <v>1</v>
      </c>
      <c r="CR12" s="4" t="s">
        <v>1</v>
      </c>
      <c r="CS12" s="4" t="s">
        <v>1</v>
      </c>
      <c r="CT12" s="4" t="s">
        <v>1</v>
      </c>
      <c r="CU12" s="4" t="s">
        <v>1</v>
      </c>
      <c r="CV12" t="s">
        <v>854</v>
      </c>
      <c r="CW12">
        <v>100</v>
      </c>
      <c r="CX12">
        <v>0</v>
      </c>
      <c r="CY12">
        <v>60</v>
      </c>
      <c r="CZ12" s="26" t="s">
        <v>1358</v>
      </c>
      <c r="DA12" t="s">
        <v>734</v>
      </c>
      <c r="DB12">
        <v>56.5</v>
      </c>
      <c r="DC12">
        <v>0</v>
      </c>
      <c r="DD12">
        <v>60</v>
      </c>
      <c r="DE12" s="26" t="s">
        <v>1358</v>
      </c>
      <c r="DF12" t="s">
        <v>735</v>
      </c>
      <c r="DG12">
        <v>21.5</v>
      </c>
      <c r="DH12">
        <v>0</v>
      </c>
      <c r="DI12">
        <v>60</v>
      </c>
      <c r="DJ12" s="26" t="s">
        <v>1358</v>
      </c>
      <c r="DK12" t="s">
        <v>736</v>
      </c>
      <c r="DL12">
        <v>22</v>
      </c>
      <c r="DM12">
        <v>0</v>
      </c>
      <c r="DN12">
        <v>60</v>
      </c>
      <c r="DO12" s="26" t="s">
        <v>1358</v>
      </c>
      <c r="DP12" t="s">
        <v>6</v>
      </c>
      <c r="DQ12" t="s">
        <v>1</v>
      </c>
      <c r="DR12">
        <v>5</v>
      </c>
      <c r="DS12">
        <v>0</v>
      </c>
      <c r="DT12">
        <v>60</v>
      </c>
      <c r="DU12" s="26" t="s">
        <v>1358</v>
      </c>
      <c r="EA12" t="s">
        <v>982</v>
      </c>
      <c r="EB12">
        <v>7</v>
      </c>
      <c r="EC12">
        <v>0</v>
      </c>
      <c r="ED12">
        <v>60</v>
      </c>
      <c r="EE12" s="26" t="s">
        <v>1358</v>
      </c>
      <c r="EF12" s="26"/>
      <c r="FZ12" t="s">
        <v>806</v>
      </c>
      <c r="GA12">
        <v>1006.5</v>
      </c>
      <c r="GE12" s="26" t="s">
        <v>1358</v>
      </c>
      <c r="HA12" s="5" t="s">
        <v>1</v>
      </c>
      <c r="HB12" s="4" t="s">
        <v>1</v>
      </c>
      <c r="HC12" t="s">
        <v>1</v>
      </c>
      <c r="HD12" t="s">
        <v>1</v>
      </c>
      <c r="HE12" t="s">
        <v>1</v>
      </c>
      <c r="HF12" s="5" t="s">
        <v>1063</v>
      </c>
      <c r="HG12" s="4">
        <v>0.63194444444444453</v>
      </c>
      <c r="HH12">
        <v>0</v>
      </c>
      <c r="HI12">
        <v>60</v>
      </c>
      <c r="HJ12" s="26" t="s">
        <v>1358</v>
      </c>
      <c r="HK12" t="s">
        <v>815</v>
      </c>
      <c r="HL12">
        <v>1.6</v>
      </c>
      <c r="HM12">
        <v>0</v>
      </c>
      <c r="HN12">
        <v>60</v>
      </c>
      <c r="HO12" t="s">
        <v>1</v>
      </c>
      <c r="HP12" s="26" t="s">
        <v>1358</v>
      </c>
      <c r="HZ12" t="s">
        <v>967</v>
      </c>
      <c r="IA12">
        <v>100</v>
      </c>
      <c r="IB12" s="10" t="s">
        <v>1</v>
      </c>
      <c r="IC12" s="10"/>
      <c r="ID12" s="10"/>
      <c r="IE12" s="10" t="s">
        <v>1</v>
      </c>
      <c r="IF12" s="10" t="s">
        <v>1</v>
      </c>
      <c r="IG12" s="10"/>
      <c r="IH12" s="10"/>
      <c r="II12" s="10"/>
      <c r="IJ12" s="10"/>
      <c r="IK12" s="10"/>
      <c r="IL12" s="10"/>
      <c r="IM12" s="10"/>
      <c r="IN12" s="10"/>
      <c r="IO12" s="10"/>
      <c r="IP12" s="10"/>
      <c r="IQ12" s="10"/>
      <c r="IR12" s="10"/>
      <c r="IS12" t="s">
        <v>1</v>
      </c>
      <c r="IT12" t="s">
        <v>1</v>
      </c>
      <c r="IW12" t="s">
        <v>1</v>
      </c>
      <c r="IX12" t="s">
        <v>1</v>
      </c>
      <c r="IY12" t="s">
        <v>1</v>
      </c>
      <c r="IZ12" t="s">
        <v>1</v>
      </c>
      <c r="JA12" t="s">
        <v>1</v>
      </c>
      <c r="JB12" s="3" t="s">
        <v>1</v>
      </c>
      <c r="JC12" t="s">
        <v>1</v>
      </c>
      <c r="JD12" s="4" t="s">
        <v>1</v>
      </c>
      <c r="JE12" t="s">
        <v>810</v>
      </c>
      <c r="JF12">
        <v>100</v>
      </c>
      <c r="JR12" t="s">
        <v>1066</v>
      </c>
      <c r="JS12">
        <v>237.9</v>
      </c>
      <c r="JU12" t="s">
        <v>1</v>
      </c>
      <c r="JW12" t="s">
        <v>1</v>
      </c>
      <c r="JX12">
        <v>0</v>
      </c>
      <c r="JY12">
        <v>60</v>
      </c>
      <c r="JZ12" t="s">
        <v>796</v>
      </c>
      <c r="KA12" t="s">
        <v>16</v>
      </c>
      <c r="KB12" t="s">
        <v>738</v>
      </c>
      <c r="KC12" t="s">
        <v>1</v>
      </c>
      <c r="KD12" t="s">
        <v>1</v>
      </c>
      <c r="KE12" t="s">
        <v>1</v>
      </c>
      <c r="KF12" t="s">
        <v>1</v>
      </c>
      <c r="KG12" t="s">
        <v>1</v>
      </c>
      <c r="KH12" t="s">
        <v>1</v>
      </c>
      <c r="KI12" t="s">
        <v>1</v>
      </c>
      <c r="KJ12" t="s">
        <v>1</v>
      </c>
      <c r="KK12" t="s">
        <v>1</v>
      </c>
    </row>
    <row r="13" spans="1:297" x14ac:dyDescent="0.2">
      <c r="A13">
        <v>12</v>
      </c>
      <c r="B13" t="s">
        <v>705</v>
      </c>
      <c r="C13" t="s">
        <v>24</v>
      </c>
      <c r="D13" t="s">
        <v>19</v>
      </c>
      <c r="E13">
        <v>3</v>
      </c>
      <c r="F13" t="s">
        <v>20</v>
      </c>
      <c r="G13" t="s">
        <v>19</v>
      </c>
      <c r="H13" s="26" t="s">
        <v>1420</v>
      </c>
      <c r="I13" t="s">
        <v>747</v>
      </c>
      <c r="J13">
        <v>1990</v>
      </c>
      <c r="K13">
        <v>38</v>
      </c>
      <c r="L13" t="s">
        <v>1</v>
      </c>
      <c r="M13" t="s">
        <v>748</v>
      </c>
      <c r="N13" t="s">
        <v>1</v>
      </c>
      <c r="O13" t="s">
        <v>749</v>
      </c>
      <c r="P13">
        <v>2</v>
      </c>
      <c r="Q13" t="s">
        <v>746</v>
      </c>
      <c r="R13" t="s">
        <v>742</v>
      </c>
      <c r="S13" t="b">
        <v>0</v>
      </c>
      <c r="T13" t="s">
        <v>1</v>
      </c>
      <c r="U13" t="s">
        <v>1</v>
      </c>
      <c r="V13" t="s">
        <v>1</v>
      </c>
      <c r="W13" t="s">
        <v>1</v>
      </c>
      <c r="X13" t="s">
        <v>1</v>
      </c>
      <c r="Y13" t="s">
        <v>1</v>
      </c>
      <c r="Z13" t="s">
        <v>1</v>
      </c>
      <c r="AA13" t="s">
        <v>1</v>
      </c>
      <c r="AB13" t="s">
        <v>1</v>
      </c>
      <c r="AC13" t="s">
        <v>1</v>
      </c>
      <c r="AD13" t="s">
        <v>1</v>
      </c>
      <c r="AE13" t="s">
        <v>1</v>
      </c>
      <c r="AF13" t="s">
        <v>1</v>
      </c>
      <c r="AG13" t="s">
        <v>1</v>
      </c>
      <c r="AH13" t="s">
        <v>1</v>
      </c>
      <c r="AI13" t="s">
        <v>1</v>
      </c>
      <c r="AJ13" t="s">
        <v>1</v>
      </c>
      <c r="AK13" t="s">
        <v>1</v>
      </c>
      <c r="AL13" t="s">
        <v>1</v>
      </c>
      <c r="AM13" t="s">
        <v>1</v>
      </c>
      <c r="AN13">
        <v>12</v>
      </c>
      <c r="AO13">
        <f t="shared" si="2"/>
        <v>12</v>
      </c>
      <c r="AP13">
        <f t="shared" si="0"/>
        <v>3</v>
      </c>
      <c r="AQ13">
        <f t="shared" si="1"/>
        <v>3</v>
      </c>
      <c r="AR13" s="26" t="s">
        <v>1355</v>
      </c>
      <c r="AS13" s="26" t="s">
        <v>1356</v>
      </c>
      <c r="AT13" t="s">
        <v>708</v>
      </c>
      <c r="AU13" t="s">
        <v>1</v>
      </c>
      <c r="AV13" t="s">
        <v>1</v>
      </c>
      <c r="AW13">
        <v>25.44</v>
      </c>
      <c r="AX13">
        <v>91.83</v>
      </c>
      <c r="AY13" t="s">
        <v>737</v>
      </c>
      <c r="BA13" s="3">
        <v>2</v>
      </c>
      <c r="BB13" s="3"/>
      <c r="BC13" s="3"/>
      <c r="BD13" s="3"/>
      <c r="BE13" s="3"/>
      <c r="BF13">
        <v>1986</v>
      </c>
      <c r="BG13" s="24" t="s">
        <v>733</v>
      </c>
      <c r="BH13" s="24" t="s">
        <v>733</v>
      </c>
      <c r="BI13" s="24" t="s">
        <v>733</v>
      </c>
      <c r="BJ13" s="24" t="s">
        <v>732</v>
      </c>
      <c r="BK13" s="24" t="s">
        <v>733</v>
      </c>
      <c r="BL13" s="25" t="s">
        <v>733</v>
      </c>
      <c r="BM13" s="24" t="s">
        <v>733</v>
      </c>
      <c r="BN13" s="24" t="s">
        <v>732</v>
      </c>
      <c r="BO13" s="24" t="s">
        <v>733</v>
      </c>
      <c r="BP13" s="24" t="s">
        <v>733</v>
      </c>
      <c r="BQ13" s="24" t="s">
        <v>945</v>
      </c>
      <c r="BR13" s="24" t="s">
        <v>945</v>
      </c>
      <c r="BS13" s="25" t="s">
        <v>934</v>
      </c>
      <c r="BT13" s="24" t="s">
        <v>934</v>
      </c>
      <c r="BU13" s="24" t="s">
        <v>934</v>
      </c>
      <c r="BV13" s="24" t="s">
        <v>934</v>
      </c>
      <c r="BW13" s="24" t="s">
        <v>934</v>
      </c>
      <c r="BX13" s="24" t="s">
        <v>934</v>
      </c>
      <c r="BY13" s="25" t="s">
        <v>945</v>
      </c>
      <c r="BZ13" t="s">
        <v>22</v>
      </c>
      <c r="CB13" t="s">
        <v>1</v>
      </c>
      <c r="CC13" s="4">
        <v>4679.1553269017231</v>
      </c>
      <c r="CD13" s="4"/>
      <c r="CE13" s="4"/>
      <c r="CF13" t="s">
        <v>793</v>
      </c>
      <c r="CG13">
        <v>100</v>
      </c>
      <c r="CH13" t="s">
        <v>805</v>
      </c>
      <c r="CI13" s="28">
        <v>0.6</v>
      </c>
      <c r="CJ13" s="10" t="s">
        <v>1442</v>
      </c>
      <c r="CK13" t="s">
        <v>807</v>
      </c>
      <c r="CL13" s="4">
        <v>1687.0423967740903</v>
      </c>
      <c r="CM13" t="s">
        <v>1024</v>
      </c>
      <c r="CN13" s="4">
        <v>120.6</v>
      </c>
      <c r="CO13" s="4"/>
      <c r="CP13" s="4" t="s">
        <v>1</v>
      </c>
      <c r="CQ13" s="4" t="s">
        <v>1</v>
      </c>
      <c r="CR13" s="4" t="s">
        <v>1</v>
      </c>
      <c r="CS13" s="4" t="s">
        <v>1</v>
      </c>
      <c r="CT13" s="4" t="s">
        <v>1</v>
      </c>
      <c r="CU13" s="4" t="s">
        <v>1</v>
      </c>
      <c r="CV13" t="s">
        <v>854</v>
      </c>
      <c r="CW13">
        <v>100</v>
      </c>
      <c r="CX13">
        <v>0</v>
      </c>
      <c r="CY13">
        <v>60</v>
      </c>
      <c r="CZ13" s="26" t="s">
        <v>1358</v>
      </c>
      <c r="DA13" t="s">
        <v>734</v>
      </c>
      <c r="DB13">
        <v>56.5</v>
      </c>
      <c r="DC13">
        <v>0</v>
      </c>
      <c r="DD13">
        <v>60</v>
      </c>
      <c r="DE13" s="26" t="s">
        <v>1358</v>
      </c>
      <c r="DF13" t="s">
        <v>735</v>
      </c>
      <c r="DG13">
        <v>21.5</v>
      </c>
      <c r="DH13">
        <v>0</v>
      </c>
      <c r="DI13">
        <v>60</v>
      </c>
      <c r="DJ13" s="26" t="s">
        <v>1358</v>
      </c>
      <c r="DK13" t="s">
        <v>736</v>
      </c>
      <c r="DL13">
        <v>22</v>
      </c>
      <c r="DM13">
        <v>0</v>
      </c>
      <c r="DN13">
        <v>60</v>
      </c>
      <c r="DO13" s="26" t="s">
        <v>1358</v>
      </c>
      <c r="DP13" t="s">
        <v>6</v>
      </c>
      <c r="DQ13" t="s">
        <v>1</v>
      </c>
      <c r="DR13">
        <v>5</v>
      </c>
      <c r="DS13">
        <v>0</v>
      </c>
      <c r="DT13">
        <v>60</v>
      </c>
      <c r="DU13" s="26" t="s">
        <v>1358</v>
      </c>
      <c r="EA13" t="s">
        <v>982</v>
      </c>
      <c r="EB13">
        <v>7</v>
      </c>
      <c r="EC13">
        <v>0</v>
      </c>
      <c r="ED13">
        <v>60</v>
      </c>
      <c r="EE13" s="26" t="s">
        <v>1358</v>
      </c>
      <c r="EF13" s="26"/>
      <c r="FZ13" t="s">
        <v>806</v>
      </c>
      <c r="GA13">
        <v>1006.5</v>
      </c>
      <c r="GE13" s="26" t="s">
        <v>1358</v>
      </c>
      <c r="HA13" s="5" t="s">
        <v>1</v>
      </c>
      <c r="HB13" s="4" t="s">
        <v>1</v>
      </c>
      <c r="HC13" t="s">
        <v>1</v>
      </c>
      <c r="HD13" t="s">
        <v>1</v>
      </c>
      <c r="HE13" t="s">
        <v>1</v>
      </c>
      <c r="HF13" s="5" t="s">
        <v>1063</v>
      </c>
      <c r="HG13" s="4">
        <v>0.63194444444444453</v>
      </c>
      <c r="HH13">
        <v>0</v>
      </c>
      <c r="HI13">
        <v>60</v>
      </c>
      <c r="HJ13" s="26" t="s">
        <v>1358</v>
      </c>
      <c r="HK13" t="s">
        <v>815</v>
      </c>
      <c r="HL13">
        <v>1.6</v>
      </c>
      <c r="HM13">
        <v>0</v>
      </c>
      <c r="HN13">
        <v>60</v>
      </c>
      <c r="HO13" t="s">
        <v>1</v>
      </c>
      <c r="HP13" s="26" t="s">
        <v>1358</v>
      </c>
      <c r="HZ13" t="s">
        <v>967</v>
      </c>
      <c r="IA13">
        <v>200</v>
      </c>
      <c r="IB13" s="10" t="s">
        <v>1</v>
      </c>
      <c r="IC13" s="10"/>
      <c r="ID13" s="10"/>
      <c r="IE13" s="10" t="s">
        <v>1</v>
      </c>
      <c r="IF13" s="10" t="s">
        <v>1</v>
      </c>
      <c r="IG13" s="10"/>
      <c r="IH13" s="10"/>
      <c r="II13" s="10"/>
      <c r="IJ13" s="10"/>
      <c r="IK13" s="10"/>
      <c r="IL13" s="10"/>
      <c r="IM13" s="10"/>
      <c r="IN13" s="10"/>
      <c r="IO13" s="10"/>
      <c r="IP13" s="10"/>
      <c r="IQ13" s="10"/>
      <c r="IR13" s="10"/>
      <c r="IS13" t="s">
        <v>1</v>
      </c>
      <c r="IT13" t="s">
        <v>1</v>
      </c>
      <c r="IW13" t="s">
        <v>1</v>
      </c>
      <c r="IX13" t="s">
        <v>1</v>
      </c>
      <c r="IY13" t="s">
        <v>1</v>
      </c>
      <c r="IZ13" t="s">
        <v>1</v>
      </c>
      <c r="JA13" t="s">
        <v>1</v>
      </c>
      <c r="JB13" s="3" t="s">
        <v>1</v>
      </c>
      <c r="JC13" t="s">
        <v>1</v>
      </c>
      <c r="JD13" s="4" t="s">
        <v>1</v>
      </c>
      <c r="JE13" t="s">
        <v>810</v>
      </c>
      <c r="JF13">
        <v>100</v>
      </c>
      <c r="JR13" t="s">
        <v>1066</v>
      </c>
      <c r="JS13">
        <v>307.7</v>
      </c>
      <c r="JU13" t="s">
        <v>1</v>
      </c>
      <c r="JW13" t="s">
        <v>1</v>
      </c>
      <c r="JX13">
        <v>0</v>
      </c>
      <c r="JY13">
        <v>60</v>
      </c>
      <c r="JZ13" t="s">
        <v>796</v>
      </c>
      <c r="KA13" t="s">
        <v>16</v>
      </c>
      <c r="KB13" t="s">
        <v>738</v>
      </c>
      <c r="KC13" t="s">
        <v>1</v>
      </c>
      <c r="KD13" t="s">
        <v>1</v>
      </c>
      <c r="KE13" t="s">
        <v>1</v>
      </c>
      <c r="KF13" t="s">
        <v>1</v>
      </c>
      <c r="KG13" t="s">
        <v>1</v>
      </c>
      <c r="KH13" t="s">
        <v>1</v>
      </c>
      <c r="KI13" t="s">
        <v>1</v>
      </c>
      <c r="KJ13" t="s">
        <v>1</v>
      </c>
      <c r="KK13" t="s">
        <v>1</v>
      </c>
    </row>
    <row r="14" spans="1:297" x14ac:dyDescent="0.2">
      <c r="A14">
        <v>13</v>
      </c>
      <c r="B14" t="s">
        <v>705</v>
      </c>
      <c r="C14" t="s">
        <v>25</v>
      </c>
      <c r="D14" t="s">
        <v>19</v>
      </c>
      <c r="E14">
        <v>3</v>
      </c>
      <c r="F14" t="s">
        <v>20</v>
      </c>
      <c r="G14" t="s">
        <v>19</v>
      </c>
      <c r="H14" s="26" t="s">
        <v>1420</v>
      </c>
      <c r="I14" t="s">
        <v>747</v>
      </c>
      <c r="J14">
        <v>1990</v>
      </c>
      <c r="K14">
        <v>38</v>
      </c>
      <c r="L14" t="s">
        <v>1</v>
      </c>
      <c r="M14" t="s">
        <v>748</v>
      </c>
      <c r="N14" t="s">
        <v>1</v>
      </c>
      <c r="O14" t="s">
        <v>749</v>
      </c>
      <c r="P14">
        <v>2</v>
      </c>
      <c r="Q14" t="s">
        <v>746</v>
      </c>
      <c r="R14" t="s">
        <v>742</v>
      </c>
      <c r="S14" t="b">
        <v>0</v>
      </c>
      <c r="T14" t="s">
        <v>1</v>
      </c>
      <c r="U14" t="s">
        <v>1</v>
      </c>
      <c r="V14" t="s">
        <v>1</v>
      </c>
      <c r="W14" t="s">
        <v>1</v>
      </c>
      <c r="X14" t="s">
        <v>1</v>
      </c>
      <c r="Y14" t="s">
        <v>1</v>
      </c>
      <c r="Z14" t="s">
        <v>1</v>
      </c>
      <c r="AA14" t="s">
        <v>1</v>
      </c>
      <c r="AB14" t="s">
        <v>1</v>
      </c>
      <c r="AC14" t="s">
        <v>1</v>
      </c>
      <c r="AD14" t="s">
        <v>1</v>
      </c>
      <c r="AE14" t="s">
        <v>1</v>
      </c>
      <c r="AF14" t="s">
        <v>1</v>
      </c>
      <c r="AG14" t="s">
        <v>1</v>
      </c>
      <c r="AH14" t="s">
        <v>1</v>
      </c>
      <c r="AI14" t="s">
        <v>1</v>
      </c>
      <c r="AJ14" t="s">
        <v>1</v>
      </c>
      <c r="AK14" t="s">
        <v>1</v>
      </c>
      <c r="AL14" t="s">
        <v>1</v>
      </c>
      <c r="AM14" t="s">
        <v>1</v>
      </c>
      <c r="AN14">
        <v>13</v>
      </c>
      <c r="AO14">
        <f t="shared" si="2"/>
        <v>13</v>
      </c>
      <c r="AP14">
        <f t="shared" si="0"/>
        <v>3</v>
      </c>
      <c r="AQ14">
        <f t="shared" si="1"/>
        <v>3</v>
      </c>
      <c r="AR14" s="26" t="s">
        <v>1355</v>
      </c>
      <c r="AS14" s="26" t="s">
        <v>1356</v>
      </c>
      <c r="AT14" t="s">
        <v>708</v>
      </c>
      <c r="AU14" t="s">
        <v>1</v>
      </c>
      <c r="AV14" t="s">
        <v>1</v>
      </c>
      <c r="AW14">
        <v>25.44</v>
      </c>
      <c r="AX14">
        <v>91.83</v>
      </c>
      <c r="AY14" t="s">
        <v>737</v>
      </c>
      <c r="BA14" s="3">
        <v>2</v>
      </c>
      <c r="BB14" s="3"/>
      <c r="BC14" s="3"/>
      <c r="BD14" s="3"/>
      <c r="BE14" s="3"/>
      <c r="BF14">
        <v>1986</v>
      </c>
      <c r="BG14" s="24" t="s">
        <v>733</v>
      </c>
      <c r="BH14" s="24" t="s">
        <v>733</v>
      </c>
      <c r="BI14" s="24" t="s">
        <v>733</v>
      </c>
      <c r="BJ14" s="24" t="s">
        <v>732</v>
      </c>
      <c r="BK14" s="24" t="s">
        <v>733</v>
      </c>
      <c r="BL14" s="25" t="s">
        <v>733</v>
      </c>
      <c r="BM14" s="24" t="s">
        <v>733</v>
      </c>
      <c r="BN14" s="24" t="s">
        <v>732</v>
      </c>
      <c r="BO14" s="24" t="s">
        <v>733</v>
      </c>
      <c r="BP14" s="24" t="s">
        <v>733</v>
      </c>
      <c r="BQ14" s="24" t="s">
        <v>945</v>
      </c>
      <c r="BR14" s="24" t="s">
        <v>945</v>
      </c>
      <c r="BS14" s="25" t="s">
        <v>934</v>
      </c>
      <c r="BT14" s="24" t="s">
        <v>934</v>
      </c>
      <c r="BU14" s="24" t="s">
        <v>934</v>
      </c>
      <c r="BV14" s="24" t="s">
        <v>934</v>
      </c>
      <c r="BW14" s="24" t="s">
        <v>934</v>
      </c>
      <c r="BX14" s="24" t="s">
        <v>934</v>
      </c>
      <c r="BY14" s="25" t="s">
        <v>945</v>
      </c>
      <c r="BZ14" t="s">
        <v>22</v>
      </c>
      <c r="CB14" t="s">
        <v>1</v>
      </c>
      <c r="CC14" s="4">
        <v>4997.4652130855129</v>
      </c>
      <c r="CD14" s="4"/>
      <c r="CE14" s="4"/>
      <c r="CF14" t="s">
        <v>793</v>
      </c>
      <c r="CG14">
        <v>100</v>
      </c>
      <c r="CH14" t="s">
        <v>805</v>
      </c>
      <c r="CI14" s="28">
        <v>0.6</v>
      </c>
      <c r="CJ14" s="10" t="s">
        <v>1442</v>
      </c>
      <c r="CK14" t="s">
        <v>807</v>
      </c>
      <c r="CL14" s="4">
        <v>1782.5353626292278</v>
      </c>
      <c r="CM14" t="s">
        <v>1024</v>
      </c>
      <c r="CN14" s="4">
        <v>127.3</v>
      </c>
      <c r="CO14" s="4"/>
      <c r="CP14" s="4" t="s">
        <v>1</v>
      </c>
      <c r="CQ14" s="4" t="s">
        <v>1</v>
      </c>
      <c r="CR14" s="4" t="s">
        <v>1</v>
      </c>
      <c r="CS14" s="4" t="s">
        <v>1</v>
      </c>
      <c r="CT14" s="4" t="s">
        <v>1</v>
      </c>
      <c r="CU14" s="4" t="s">
        <v>1</v>
      </c>
      <c r="CV14" t="s">
        <v>854</v>
      </c>
      <c r="CW14">
        <v>100</v>
      </c>
      <c r="CX14">
        <v>0</v>
      </c>
      <c r="CY14">
        <v>60</v>
      </c>
      <c r="CZ14" s="26" t="s">
        <v>1358</v>
      </c>
      <c r="DA14" t="s">
        <v>734</v>
      </c>
      <c r="DB14">
        <v>56.5</v>
      </c>
      <c r="DC14">
        <v>0</v>
      </c>
      <c r="DD14">
        <v>60</v>
      </c>
      <c r="DE14" s="26" t="s">
        <v>1358</v>
      </c>
      <c r="DF14" t="s">
        <v>735</v>
      </c>
      <c r="DG14">
        <v>21.5</v>
      </c>
      <c r="DH14">
        <v>0</v>
      </c>
      <c r="DI14">
        <v>60</v>
      </c>
      <c r="DJ14" s="26" t="s">
        <v>1358</v>
      </c>
      <c r="DK14" t="s">
        <v>736</v>
      </c>
      <c r="DL14">
        <v>22</v>
      </c>
      <c r="DM14">
        <v>0</v>
      </c>
      <c r="DN14">
        <v>60</v>
      </c>
      <c r="DO14" s="26" t="s">
        <v>1358</v>
      </c>
      <c r="DP14" t="s">
        <v>6</v>
      </c>
      <c r="DQ14" t="s">
        <v>1</v>
      </c>
      <c r="DR14">
        <v>5</v>
      </c>
      <c r="DS14">
        <v>0</v>
      </c>
      <c r="DT14">
        <v>60</v>
      </c>
      <c r="DU14" s="26" t="s">
        <v>1358</v>
      </c>
      <c r="EA14" t="s">
        <v>982</v>
      </c>
      <c r="EB14">
        <v>7</v>
      </c>
      <c r="EC14">
        <v>0</v>
      </c>
      <c r="ED14">
        <v>60</v>
      </c>
      <c r="EE14" s="26" t="s">
        <v>1358</v>
      </c>
      <c r="EF14" s="26"/>
      <c r="FZ14" t="s">
        <v>806</v>
      </c>
      <c r="GA14">
        <v>1006.5</v>
      </c>
      <c r="GE14" s="26" t="s">
        <v>1358</v>
      </c>
      <c r="HA14" s="5" t="s">
        <v>1</v>
      </c>
      <c r="HB14" s="4" t="s">
        <v>1</v>
      </c>
      <c r="HC14" t="s">
        <v>1</v>
      </c>
      <c r="HD14" t="s">
        <v>1</v>
      </c>
      <c r="HE14" t="s">
        <v>1</v>
      </c>
      <c r="HF14" s="5" t="s">
        <v>1063</v>
      </c>
      <c r="HG14" s="4">
        <v>0.63194444444444453</v>
      </c>
      <c r="HH14">
        <v>0</v>
      </c>
      <c r="HI14">
        <v>60</v>
      </c>
      <c r="HJ14" s="26" t="s">
        <v>1358</v>
      </c>
      <c r="HK14" t="s">
        <v>815</v>
      </c>
      <c r="HL14">
        <v>1.6</v>
      </c>
      <c r="HM14">
        <v>0</v>
      </c>
      <c r="HN14">
        <v>60</v>
      </c>
      <c r="HO14" t="s">
        <v>1</v>
      </c>
      <c r="HP14" s="26" t="s">
        <v>1358</v>
      </c>
      <c r="HZ14" t="s">
        <v>967</v>
      </c>
      <c r="IA14">
        <v>200</v>
      </c>
      <c r="IB14" s="10" t="s">
        <v>1</v>
      </c>
      <c r="IC14" s="10"/>
      <c r="ID14" s="10"/>
      <c r="IE14" s="10" t="s">
        <v>1</v>
      </c>
      <c r="IF14" s="10" t="s">
        <v>1</v>
      </c>
      <c r="IG14" s="10"/>
      <c r="IH14" s="10"/>
      <c r="II14" s="10"/>
      <c r="IJ14" s="10"/>
      <c r="IK14" s="10"/>
      <c r="IL14" s="10"/>
      <c r="IM14" s="10"/>
      <c r="IN14" s="10"/>
      <c r="IO14" s="10"/>
      <c r="IP14" s="10"/>
      <c r="IQ14" s="10"/>
      <c r="IR14" s="10"/>
      <c r="IS14" t="s">
        <v>978</v>
      </c>
      <c r="IT14">
        <v>54</v>
      </c>
      <c r="IW14" t="s">
        <v>1</v>
      </c>
      <c r="IX14" t="s">
        <v>1</v>
      </c>
      <c r="IY14" t="s">
        <v>1</v>
      </c>
      <c r="IZ14" t="s">
        <v>1</v>
      </c>
      <c r="JA14" t="s">
        <v>1</v>
      </c>
      <c r="JB14" s="3" t="s">
        <v>1</v>
      </c>
      <c r="JC14" t="s">
        <v>1</v>
      </c>
      <c r="JD14" s="4" t="s">
        <v>1</v>
      </c>
      <c r="JE14" t="s">
        <v>810</v>
      </c>
      <c r="JF14">
        <v>100</v>
      </c>
      <c r="JR14" t="s">
        <v>1066</v>
      </c>
      <c r="JS14">
        <v>334.7</v>
      </c>
      <c r="JU14" t="s">
        <v>1</v>
      </c>
      <c r="JW14" t="s">
        <v>1</v>
      </c>
      <c r="JX14">
        <v>0</v>
      </c>
      <c r="JY14">
        <v>60</v>
      </c>
      <c r="JZ14" t="s">
        <v>796</v>
      </c>
      <c r="KA14" t="s">
        <v>16</v>
      </c>
      <c r="KB14" t="s">
        <v>738</v>
      </c>
      <c r="KC14" t="s">
        <v>1</v>
      </c>
      <c r="KD14" t="s">
        <v>1</v>
      </c>
      <c r="KE14" t="s">
        <v>1</v>
      </c>
      <c r="KF14" t="s">
        <v>1</v>
      </c>
      <c r="KG14" t="s">
        <v>1</v>
      </c>
      <c r="KH14" t="s">
        <v>1</v>
      </c>
      <c r="KI14" t="s">
        <v>1</v>
      </c>
      <c r="KJ14" t="s">
        <v>1</v>
      </c>
      <c r="KK14" t="s">
        <v>1</v>
      </c>
    </row>
    <row r="15" spans="1:297" x14ac:dyDescent="0.2">
      <c r="A15">
        <v>14</v>
      </c>
      <c r="B15" t="s">
        <v>705</v>
      </c>
      <c r="C15" t="s">
        <v>26</v>
      </c>
      <c r="D15" t="s">
        <v>19</v>
      </c>
      <c r="E15">
        <v>3</v>
      </c>
      <c r="F15" t="s">
        <v>20</v>
      </c>
      <c r="G15" t="s">
        <v>19</v>
      </c>
      <c r="H15" s="26" t="s">
        <v>1420</v>
      </c>
      <c r="I15" t="s">
        <v>747</v>
      </c>
      <c r="J15">
        <v>1990</v>
      </c>
      <c r="K15">
        <v>38</v>
      </c>
      <c r="L15" t="s">
        <v>1</v>
      </c>
      <c r="M15" t="s">
        <v>748</v>
      </c>
      <c r="N15" t="s">
        <v>1</v>
      </c>
      <c r="O15" t="s">
        <v>749</v>
      </c>
      <c r="P15">
        <v>2</v>
      </c>
      <c r="Q15" t="s">
        <v>746</v>
      </c>
      <c r="R15" t="s">
        <v>742</v>
      </c>
      <c r="S15" t="b">
        <v>0</v>
      </c>
      <c r="T15" t="s">
        <v>1</v>
      </c>
      <c r="U15" t="s">
        <v>1</v>
      </c>
      <c r="V15" t="s">
        <v>1</v>
      </c>
      <c r="W15" t="s">
        <v>1</v>
      </c>
      <c r="X15" t="s">
        <v>1</v>
      </c>
      <c r="Y15" t="s">
        <v>1</v>
      </c>
      <c r="Z15" t="s">
        <v>1</v>
      </c>
      <c r="AA15" t="s">
        <v>1</v>
      </c>
      <c r="AB15" t="s">
        <v>1</v>
      </c>
      <c r="AC15" t="s">
        <v>1</v>
      </c>
      <c r="AD15" t="s">
        <v>1</v>
      </c>
      <c r="AE15" t="s">
        <v>1</v>
      </c>
      <c r="AF15" t="s">
        <v>1</v>
      </c>
      <c r="AG15" t="s">
        <v>1</v>
      </c>
      <c r="AH15" t="s">
        <v>1</v>
      </c>
      <c r="AI15" t="s">
        <v>1</v>
      </c>
      <c r="AJ15" t="s">
        <v>1</v>
      </c>
      <c r="AK15" t="s">
        <v>1</v>
      </c>
      <c r="AL15" t="s">
        <v>1</v>
      </c>
      <c r="AM15" t="s">
        <v>1</v>
      </c>
      <c r="AN15">
        <v>14</v>
      </c>
      <c r="AO15">
        <f t="shared" si="2"/>
        <v>14</v>
      </c>
      <c r="AP15">
        <f t="shared" si="0"/>
        <v>3</v>
      </c>
      <c r="AQ15">
        <f t="shared" si="1"/>
        <v>3</v>
      </c>
      <c r="AR15" s="26" t="s">
        <v>1355</v>
      </c>
      <c r="AS15" s="26" t="s">
        <v>1356</v>
      </c>
      <c r="AT15" t="s">
        <v>708</v>
      </c>
      <c r="AU15" t="s">
        <v>1</v>
      </c>
      <c r="AV15" t="s">
        <v>1</v>
      </c>
      <c r="AW15">
        <v>25.44</v>
      </c>
      <c r="AX15">
        <v>91.83</v>
      </c>
      <c r="AY15" t="s">
        <v>737</v>
      </c>
      <c r="BA15" s="3">
        <v>2</v>
      </c>
      <c r="BB15" s="3"/>
      <c r="BC15" s="3"/>
      <c r="BD15" s="3"/>
      <c r="BE15" s="3"/>
      <c r="BF15">
        <v>1986</v>
      </c>
      <c r="BG15" s="24" t="s">
        <v>733</v>
      </c>
      <c r="BH15" s="24" t="s">
        <v>733</v>
      </c>
      <c r="BI15" s="24" t="s">
        <v>733</v>
      </c>
      <c r="BJ15" s="24" t="s">
        <v>732</v>
      </c>
      <c r="BK15" s="24" t="s">
        <v>733</v>
      </c>
      <c r="BL15" s="25" t="s">
        <v>733</v>
      </c>
      <c r="BM15" s="24" t="s">
        <v>733</v>
      </c>
      <c r="BN15" s="24" t="s">
        <v>732</v>
      </c>
      <c r="BO15" s="24" t="s">
        <v>733</v>
      </c>
      <c r="BP15" s="24" t="s">
        <v>733</v>
      </c>
      <c r="BQ15" s="24" t="s">
        <v>945</v>
      </c>
      <c r="BR15" s="24" t="s">
        <v>945</v>
      </c>
      <c r="BS15" s="25" t="s">
        <v>934</v>
      </c>
      <c r="BT15" s="24" t="s">
        <v>934</v>
      </c>
      <c r="BU15" s="24" t="s">
        <v>934</v>
      </c>
      <c r="BV15" s="24" t="s">
        <v>934</v>
      </c>
      <c r="BW15" s="24" t="s">
        <v>934</v>
      </c>
      <c r="BX15" s="24" t="s">
        <v>934</v>
      </c>
      <c r="BY15" s="25" t="s">
        <v>945</v>
      </c>
      <c r="BZ15" t="s">
        <v>22</v>
      </c>
      <c r="CB15" t="s">
        <v>1</v>
      </c>
      <c r="CC15" s="4">
        <v>3119.4368846011484</v>
      </c>
      <c r="CD15" s="4"/>
      <c r="CE15" s="4"/>
      <c r="CF15" t="s">
        <v>793</v>
      </c>
      <c r="CG15">
        <v>100</v>
      </c>
      <c r="CH15" t="s">
        <v>805</v>
      </c>
      <c r="CI15" s="28">
        <v>0.6</v>
      </c>
      <c r="CJ15" s="10" t="s">
        <v>1442</v>
      </c>
      <c r="CK15" t="s">
        <v>807</v>
      </c>
      <c r="CL15" s="4">
        <v>1018.5916357881301</v>
      </c>
      <c r="CM15" t="s">
        <v>1024</v>
      </c>
      <c r="CN15" s="4">
        <v>67.099999999999994</v>
      </c>
      <c r="CO15" s="4"/>
      <c r="CP15" s="4" t="s">
        <v>1</v>
      </c>
      <c r="CQ15" s="4" t="s">
        <v>1</v>
      </c>
      <c r="CR15" s="4" t="s">
        <v>1</v>
      </c>
      <c r="CS15" s="4" t="s">
        <v>1</v>
      </c>
      <c r="CT15" s="4" t="s">
        <v>1</v>
      </c>
      <c r="CU15" s="4" t="s">
        <v>1</v>
      </c>
      <c r="CV15" s="37" t="s">
        <v>855</v>
      </c>
      <c r="CW15">
        <v>100</v>
      </c>
      <c r="CX15">
        <v>0</v>
      </c>
      <c r="CY15">
        <v>60</v>
      </c>
      <c r="CZ15" s="26" t="s">
        <v>1358</v>
      </c>
      <c r="DA15" t="s">
        <v>734</v>
      </c>
      <c r="DB15">
        <v>51.1</v>
      </c>
      <c r="DC15">
        <v>0</v>
      </c>
      <c r="DD15">
        <v>60</v>
      </c>
      <c r="DE15" s="26" t="s">
        <v>1358</v>
      </c>
      <c r="DF15" t="s">
        <v>735</v>
      </c>
      <c r="DG15">
        <v>31.6</v>
      </c>
      <c r="DH15">
        <v>0</v>
      </c>
      <c r="DI15">
        <v>60</v>
      </c>
      <c r="DJ15" s="26" t="s">
        <v>1358</v>
      </c>
      <c r="DK15" t="s">
        <v>736</v>
      </c>
      <c r="DL15">
        <v>17.3</v>
      </c>
      <c r="DM15">
        <v>0</v>
      </c>
      <c r="DN15">
        <v>60</v>
      </c>
      <c r="DO15" s="26" t="s">
        <v>1358</v>
      </c>
      <c r="DP15" t="s">
        <v>6</v>
      </c>
      <c r="DQ15" t="s">
        <v>1</v>
      </c>
      <c r="DR15">
        <v>5.0999999999999996</v>
      </c>
      <c r="DS15">
        <v>0</v>
      </c>
      <c r="DT15">
        <v>60</v>
      </c>
      <c r="DU15" s="26" t="s">
        <v>1358</v>
      </c>
      <c r="EA15" t="s">
        <v>982</v>
      </c>
      <c r="EB15">
        <v>7.7</v>
      </c>
      <c r="EC15">
        <v>0</v>
      </c>
      <c r="ED15">
        <v>60</v>
      </c>
      <c r="EE15" s="26" t="s">
        <v>1358</v>
      </c>
      <c r="EF15" s="26"/>
      <c r="FZ15" t="s">
        <v>806</v>
      </c>
      <c r="GA15">
        <v>1006.5</v>
      </c>
      <c r="GE15" s="26" t="s">
        <v>1358</v>
      </c>
      <c r="HA15" s="5" t="s">
        <v>1</v>
      </c>
      <c r="HB15" s="4" t="s">
        <v>1</v>
      </c>
      <c r="HC15" t="s">
        <v>1</v>
      </c>
      <c r="HD15" t="s">
        <v>1</v>
      </c>
      <c r="HE15" t="s">
        <v>1</v>
      </c>
      <c r="HF15" s="5" t="s">
        <v>1063</v>
      </c>
      <c r="HG15" s="4">
        <v>0.70138888888888906</v>
      </c>
      <c r="HH15">
        <v>0</v>
      </c>
      <c r="HI15">
        <v>60</v>
      </c>
      <c r="HJ15" s="26" t="s">
        <v>1358</v>
      </c>
      <c r="HK15" t="s">
        <v>815</v>
      </c>
      <c r="HL15">
        <v>1.6</v>
      </c>
      <c r="HM15">
        <v>0</v>
      </c>
      <c r="HN15">
        <v>60</v>
      </c>
      <c r="HO15" t="s">
        <v>1</v>
      </c>
      <c r="HP15" s="26" t="s">
        <v>1358</v>
      </c>
      <c r="HZ15" t="s">
        <v>1</v>
      </c>
      <c r="IA15" t="s">
        <v>1</v>
      </c>
      <c r="IB15" s="10" t="s">
        <v>1</v>
      </c>
      <c r="IC15" s="10"/>
      <c r="ID15" s="10"/>
      <c r="IE15" s="10" t="s">
        <v>1</v>
      </c>
      <c r="IF15" s="10" t="s">
        <v>1</v>
      </c>
      <c r="IG15" s="10"/>
      <c r="IH15" s="10"/>
      <c r="II15" s="10"/>
      <c r="IJ15" s="10"/>
      <c r="IK15" s="10"/>
      <c r="IL15" s="10"/>
      <c r="IM15" s="10"/>
      <c r="IN15" s="10"/>
      <c r="IO15" s="10"/>
      <c r="IP15" s="10"/>
      <c r="IQ15" s="10"/>
      <c r="IR15" s="10"/>
      <c r="IS15" t="s">
        <v>1</v>
      </c>
      <c r="IT15" t="s">
        <v>1</v>
      </c>
      <c r="IW15" t="s">
        <v>1</v>
      </c>
      <c r="IX15" t="s">
        <v>1</v>
      </c>
      <c r="IY15" t="s">
        <v>1</v>
      </c>
      <c r="IZ15" t="s">
        <v>1</v>
      </c>
      <c r="JA15" t="s">
        <v>1</v>
      </c>
      <c r="JB15" s="3" t="s">
        <v>1</v>
      </c>
      <c r="JC15" t="s">
        <v>1</v>
      </c>
      <c r="JD15" s="4" t="s">
        <v>1</v>
      </c>
      <c r="JE15" t="s">
        <v>810</v>
      </c>
      <c r="JF15">
        <v>100</v>
      </c>
      <c r="JR15" t="s">
        <v>1066</v>
      </c>
      <c r="JS15">
        <v>93.2</v>
      </c>
      <c r="JU15" t="s">
        <v>1</v>
      </c>
      <c r="JW15" t="s">
        <v>1</v>
      </c>
      <c r="JX15">
        <v>0</v>
      </c>
      <c r="JY15">
        <v>60</v>
      </c>
      <c r="JZ15" t="s">
        <v>796</v>
      </c>
      <c r="KA15" t="s">
        <v>16</v>
      </c>
      <c r="KB15" t="s">
        <v>738</v>
      </c>
      <c r="KC15" t="s">
        <v>1</v>
      </c>
      <c r="KD15" t="s">
        <v>1</v>
      </c>
      <c r="KE15" t="s">
        <v>1</v>
      </c>
      <c r="KF15" t="s">
        <v>1</v>
      </c>
      <c r="KG15" t="s">
        <v>1</v>
      </c>
      <c r="KH15" t="s">
        <v>1</v>
      </c>
      <c r="KI15" t="s">
        <v>1</v>
      </c>
      <c r="KJ15" t="s">
        <v>1</v>
      </c>
      <c r="KK15" t="s">
        <v>1</v>
      </c>
    </row>
    <row r="16" spans="1:297" x14ac:dyDescent="0.2">
      <c r="A16">
        <v>15</v>
      </c>
      <c r="B16" t="s">
        <v>705</v>
      </c>
      <c r="C16" t="s">
        <v>27</v>
      </c>
      <c r="D16" t="s">
        <v>19</v>
      </c>
      <c r="E16">
        <v>3</v>
      </c>
      <c r="F16" t="s">
        <v>20</v>
      </c>
      <c r="G16" t="s">
        <v>19</v>
      </c>
      <c r="H16" s="26" t="s">
        <v>1420</v>
      </c>
      <c r="I16" t="s">
        <v>747</v>
      </c>
      <c r="J16">
        <v>1990</v>
      </c>
      <c r="K16">
        <v>38</v>
      </c>
      <c r="L16" t="s">
        <v>1</v>
      </c>
      <c r="M16" t="s">
        <v>748</v>
      </c>
      <c r="N16" t="s">
        <v>1</v>
      </c>
      <c r="O16" t="s">
        <v>749</v>
      </c>
      <c r="P16">
        <v>2</v>
      </c>
      <c r="Q16" t="s">
        <v>746</v>
      </c>
      <c r="R16" t="s">
        <v>742</v>
      </c>
      <c r="S16" t="b">
        <v>0</v>
      </c>
      <c r="T16" t="s">
        <v>1</v>
      </c>
      <c r="U16" t="s">
        <v>1</v>
      </c>
      <c r="V16" t="s">
        <v>1</v>
      </c>
      <c r="W16" t="s">
        <v>1</v>
      </c>
      <c r="X16" t="s">
        <v>1</v>
      </c>
      <c r="Y16" t="s">
        <v>1</v>
      </c>
      <c r="Z16" t="s">
        <v>1</v>
      </c>
      <c r="AA16" t="s">
        <v>1</v>
      </c>
      <c r="AB16" t="s">
        <v>1</v>
      </c>
      <c r="AC16" t="s">
        <v>1</v>
      </c>
      <c r="AD16" t="s">
        <v>1</v>
      </c>
      <c r="AE16" t="s">
        <v>1</v>
      </c>
      <c r="AF16" t="s">
        <v>1</v>
      </c>
      <c r="AG16" t="s">
        <v>1</v>
      </c>
      <c r="AH16" t="s">
        <v>1</v>
      </c>
      <c r="AI16" t="s">
        <v>1</v>
      </c>
      <c r="AJ16" t="s">
        <v>1</v>
      </c>
      <c r="AK16" t="s">
        <v>1</v>
      </c>
      <c r="AL16" t="s">
        <v>1</v>
      </c>
      <c r="AM16" t="s">
        <v>1</v>
      </c>
      <c r="AN16">
        <v>15</v>
      </c>
      <c r="AO16">
        <f t="shared" si="2"/>
        <v>15</v>
      </c>
      <c r="AP16">
        <f t="shared" si="0"/>
        <v>3</v>
      </c>
      <c r="AQ16">
        <f t="shared" si="1"/>
        <v>3</v>
      </c>
      <c r="AR16" s="26" t="s">
        <v>1355</v>
      </c>
      <c r="AS16" s="26" t="s">
        <v>1356</v>
      </c>
      <c r="AT16" t="s">
        <v>708</v>
      </c>
      <c r="AU16" t="s">
        <v>1</v>
      </c>
      <c r="AV16" t="s">
        <v>1</v>
      </c>
      <c r="AW16">
        <v>25.44</v>
      </c>
      <c r="AX16">
        <v>91.83</v>
      </c>
      <c r="AY16" t="s">
        <v>737</v>
      </c>
      <c r="BA16" s="3">
        <v>2</v>
      </c>
      <c r="BB16" s="3"/>
      <c r="BC16" s="3"/>
      <c r="BD16" s="3"/>
      <c r="BE16" s="3"/>
      <c r="BF16">
        <v>1986</v>
      </c>
      <c r="BG16" s="24" t="s">
        <v>733</v>
      </c>
      <c r="BH16" s="24" t="s">
        <v>733</v>
      </c>
      <c r="BI16" s="24" t="s">
        <v>733</v>
      </c>
      <c r="BJ16" s="24" t="s">
        <v>732</v>
      </c>
      <c r="BK16" s="24" t="s">
        <v>733</v>
      </c>
      <c r="BL16" s="25" t="s">
        <v>733</v>
      </c>
      <c r="BM16" s="24" t="s">
        <v>733</v>
      </c>
      <c r="BN16" s="24" t="s">
        <v>732</v>
      </c>
      <c r="BO16" s="24" t="s">
        <v>733</v>
      </c>
      <c r="BP16" s="24" t="s">
        <v>733</v>
      </c>
      <c r="BQ16" s="24" t="s">
        <v>945</v>
      </c>
      <c r="BR16" s="24" t="s">
        <v>945</v>
      </c>
      <c r="BS16" s="25" t="s">
        <v>934</v>
      </c>
      <c r="BT16" s="24" t="s">
        <v>934</v>
      </c>
      <c r="BU16" s="24" t="s">
        <v>934</v>
      </c>
      <c r="BV16" s="24" t="s">
        <v>934</v>
      </c>
      <c r="BW16" s="24" t="s">
        <v>934</v>
      </c>
      <c r="BX16" s="24" t="s">
        <v>934</v>
      </c>
      <c r="BY16" s="25" t="s">
        <v>945</v>
      </c>
      <c r="BZ16" t="s">
        <v>22</v>
      </c>
      <c r="CB16" t="s">
        <v>1</v>
      </c>
      <c r="CC16" s="4">
        <v>3437.7467707849391</v>
      </c>
      <c r="CD16" s="4"/>
      <c r="CE16" s="4"/>
      <c r="CF16" t="s">
        <v>793</v>
      </c>
      <c r="CG16">
        <v>100</v>
      </c>
      <c r="CH16" t="s">
        <v>805</v>
      </c>
      <c r="CI16" s="28">
        <v>0.6</v>
      </c>
      <c r="CJ16" s="10" t="s">
        <v>1442</v>
      </c>
      <c r="CK16" t="s">
        <v>807</v>
      </c>
      <c r="CL16" s="4">
        <v>1050.4226244065092</v>
      </c>
      <c r="CM16" t="s">
        <v>1024</v>
      </c>
      <c r="CN16" s="4">
        <v>91</v>
      </c>
      <c r="CO16" s="4"/>
      <c r="CP16" s="4" t="s">
        <v>1</v>
      </c>
      <c r="CQ16" s="4" t="s">
        <v>1</v>
      </c>
      <c r="CR16" s="4" t="s">
        <v>1</v>
      </c>
      <c r="CS16" s="4" t="s">
        <v>1</v>
      </c>
      <c r="CT16" s="4" t="s">
        <v>1</v>
      </c>
      <c r="CU16" s="4" t="s">
        <v>1</v>
      </c>
      <c r="CV16" s="37" t="s">
        <v>855</v>
      </c>
      <c r="CW16">
        <v>100</v>
      </c>
      <c r="CX16">
        <v>0</v>
      </c>
      <c r="CY16">
        <v>60</v>
      </c>
      <c r="CZ16" s="26" t="s">
        <v>1358</v>
      </c>
      <c r="DA16" t="s">
        <v>734</v>
      </c>
      <c r="DB16">
        <v>51.1</v>
      </c>
      <c r="DC16">
        <v>0</v>
      </c>
      <c r="DD16">
        <v>60</v>
      </c>
      <c r="DE16" s="26" t="s">
        <v>1358</v>
      </c>
      <c r="DF16" t="s">
        <v>735</v>
      </c>
      <c r="DG16">
        <v>31.6</v>
      </c>
      <c r="DH16">
        <v>0</v>
      </c>
      <c r="DI16">
        <v>60</v>
      </c>
      <c r="DJ16" s="26" t="s">
        <v>1358</v>
      </c>
      <c r="DK16" t="s">
        <v>736</v>
      </c>
      <c r="DL16">
        <v>17.3</v>
      </c>
      <c r="DM16">
        <v>0</v>
      </c>
      <c r="DN16">
        <v>60</v>
      </c>
      <c r="DO16" s="26" t="s">
        <v>1358</v>
      </c>
      <c r="DP16" t="s">
        <v>6</v>
      </c>
      <c r="DQ16" t="s">
        <v>1</v>
      </c>
      <c r="DR16">
        <v>5.0999999999999996</v>
      </c>
      <c r="DS16">
        <v>0</v>
      </c>
      <c r="DT16">
        <v>60</v>
      </c>
      <c r="DU16" s="26" t="s">
        <v>1358</v>
      </c>
      <c r="EA16" t="s">
        <v>982</v>
      </c>
      <c r="EB16">
        <v>7.7</v>
      </c>
      <c r="EC16">
        <v>0</v>
      </c>
      <c r="ED16">
        <v>60</v>
      </c>
      <c r="EE16" s="26" t="s">
        <v>1358</v>
      </c>
      <c r="EF16" s="26"/>
      <c r="FZ16" t="s">
        <v>806</v>
      </c>
      <c r="GA16">
        <v>1006.5</v>
      </c>
      <c r="GE16" s="26" t="s">
        <v>1358</v>
      </c>
      <c r="HA16" s="5" t="s">
        <v>1</v>
      </c>
      <c r="HB16" s="4" t="s">
        <v>1</v>
      </c>
      <c r="HC16" t="s">
        <v>1</v>
      </c>
      <c r="HD16" t="s">
        <v>1</v>
      </c>
      <c r="HE16" t="s">
        <v>1</v>
      </c>
      <c r="HF16" s="5" t="s">
        <v>1063</v>
      </c>
      <c r="HG16" s="4">
        <v>0.70138888888888906</v>
      </c>
      <c r="HH16">
        <v>0</v>
      </c>
      <c r="HI16">
        <v>60</v>
      </c>
      <c r="HJ16" s="26" t="s">
        <v>1358</v>
      </c>
      <c r="HK16" t="s">
        <v>815</v>
      </c>
      <c r="HL16">
        <v>1.6</v>
      </c>
      <c r="HM16">
        <v>0</v>
      </c>
      <c r="HN16">
        <v>60</v>
      </c>
      <c r="HO16" t="s">
        <v>1</v>
      </c>
      <c r="HP16" s="26" t="s">
        <v>1358</v>
      </c>
      <c r="HZ16" t="s">
        <v>967</v>
      </c>
      <c r="IA16">
        <v>100</v>
      </c>
      <c r="IB16" s="10" t="s">
        <v>1</v>
      </c>
      <c r="IC16" s="10"/>
      <c r="ID16" s="10"/>
      <c r="IE16" s="10" t="s">
        <v>1</v>
      </c>
      <c r="IF16" s="10" t="s">
        <v>1</v>
      </c>
      <c r="IG16" s="10"/>
      <c r="IH16" s="10"/>
      <c r="II16" s="10"/>
      <c r="IJ16" s="10"/>
      <c r="IK16" s="10"/>
      <c r="IL16" s="10"/>
      <c r="IM16" s="10"/>
      <c r="IN16" s="10"/>
      <c r="IO16" s="10"/>
      <c r="IP16" s="10"/>
      <c r="IQ16" s="10"/>
      <c r="IR16" s="10"/>
      <c r="IS16" t="s">
        <v>1</v>
      </c>
      <c r="IT16" t="s">
        <v>1</v>
      </c>
      <c r="IW16" t="s">
        <v>1</v>
      </c>
      <c r="IX16" t="s">
        <v>1</v>
      </c>
      <c r="IY16" t="s">
        <v>1</v>
      </c>
      <c r="IZ16" t="s">
        <v>1</v>
      </c>
      <c r="JA16" t="s">
        <v>1</v>
      </c>
      <c r="JB16" s="3" t="s">
        <v>1</v>
      </c>
      <c r="JC16" t="s">
        <v>1</v>
      </c>
      <c r="JD16" s="4" t="s">
        <v>1</v>
      </c>
      <c r="JE16" t="s">
        <v>810</v>
      </c>
      <c r="JF16">
        <v>100</v>
      </c>
      <c r="JR16" t="s">
        <v>1066</v>
      </c>
      <c r="JS16">
        <v>248.1</v>
      </c>
      <c r="JU16" t="s">
        <v>1</v>
      </c>
      <c r="JW16" t="s">
        <v>1</v>
      </c>
      <c r="JX16">
        <v>0</v>
      </c>
      <c r="JY16">
        <v>60</v>
      </c>
      <c r="JZ16" t="s">
        <v>796</v>
      </c>
      <c r="KA16" t="s">
        <v>16</v>
      </c>
      <c r="KB16" t="s">
        <v>738</v>
      </c>
      <c r="KC16" t="s">
        <v>1</v>
      </c>
      <c r="KD16" t="s">
        <v>1</v>
      </c>
      <c r="KE16" t="s">
        <v>1</v>
      </c>
      <c r="KF16" t="s">
        <v>1</v>
      </c>
      <c r="KG16" t="s">
        <v>1</v>
      </c>
      <c r="KH16" t="s">
        <v>1</v>
      </c>
      <c r="KI16" t="s">
        <v>1</v>
      </c>
      <c r="KJ16" t="s">
        <v>1</v>
      </c>
      <c r="KK16" t="s">
        <v>1</v>
      </c>
    </row>
    <row r="17" spans="1:297" x14ac:dyDescent="0.2">
      <c r="A17">
        <v>16</v>
      </c>
      <c r="B17" t="s">
        <v>705</v>
      </c>
      <c r="C17" t="s">
        <v>28</v>
      </c>
      <c r="D17" t="s">
        <v>19</v>
      </c>
      <c r="E17">
        <v>3</v>
      </c>
      <c r="F17" t="s">
        <v>20</v>
      </c>
      <c r="G17" t="s">
        <v>19</v>
      </c>
      <c r="H17" s="26" t="s">
        <v>1420</v>
      </c>
      <c r="I17" t="s">
        <v>747</v>
      </c>
      <c r="J17">
        <v>1990</v>
      </c>
      <c r="K17">
        <v>38</v>
      </c>
      <c r="L17" t="s">
        <v>1</v>
      </c>
      <c r="M17" t="s">
        <v>748</v>
      </c>
      <c r="N17" t="s">
        <v>1</v>
      </c>
      <c r="O17" t="s">
        <v>749</v>
      </c>
      <c r="P17">
        <v>2</v>
      </c>
      <c r="Q17" t="s">
        <v>746</v>
      </c>
      <c r="R17" t="s">
        <v>742</v>
      </c>
      <c r="S17" t="b">
        <v>0</v>
      </c>
      <c r="T17" t="s">
        <v>1</v>
      </c>
      <c r="U17" t="s">
        <v>1</v>
      </c>
      <c r="V17" t="s">
        <v>1</v>
      </c>
      <c r="W17" t="s">
        <v>1</v>
      </c>
      <c r="X17" t="s">
        <v>1</v>
      </c>
      <c r="Y17" t="s">
        <v>1</v>
      </c>
      <c r="Z17" t="s">
        <v>1</v>
      </c>
      <c r="AA17" t="s">
        <v>1</v>
      </c>
      <c r="AB17" t="s">
        <v>1</v>
      </c>
      <c r="AC17" t="s">
        <v>1</v>
      </c>
      <c r="AD17" t="s">
        <v>1</v>
      </c>
      <c r="AE17" t="s">
        <v>1</v>
      </c>
      <c r="AF17" t="s">
        <v>1</v>
      </c>
      <c r="AG17" t="s">
        <v>1</v>
      </c>
      <c r="AH17" t="s">
        <v>1</v>
      </c>
      <c r="AI17" t="s">
        <v>1</v>
      </c>
      <c r="AJ17" t="s">
        <v>1</v>
      </c>
      <c r="AK17" t="s">
        <v>1</v>
      </c>
      <c r="AL17" t="s">
        <v>1</v>
      </c>
      <c r="AM17" t="s">
        <v>1</v>
      </c>
      <c r="AN17">
        <v>16</v>
      </c>
      <c r="AO17">
        <f t="shared" si="2"/>
        <v>16</v>
      </c>
      <c r="AP17">
        <f t="shared" si="0"/>
        <v>3</v>
      </c>
      <c r="AQ17">
        <f t="shared" si="1"/>
        <v>3</v>
      </c>
      <c r="AR17" s="26" t="s">
        <v>1355</v>
      </c>
      <c r="AS17" s="26" t="s">
        <v>1356</v>
      </c>
      <c r="AT17" t="s">
        <v>708</v>
      </c>
      <c r="AU17" t="s">
        <v>1</v>
      </c>
      <c r="AV17" t="s">
        <v>1</v>
      </c>
      <c r="AW17">
        <v>25.44</v>
      </c>
      <c r="AX17">
        <v>91.83</v>
      </c>
      <c r="AY17" t="s">
        <v>737</v>
      </c>
      <c r="BA17" s="3">
        <v>2</v>
      </c>
      <c r="BB17" s="3"/>
      <c r="BC17" s="3"/>
      <c r="BD17" s="3"/>
      <c r="BE17" s="3"/>
      <c r="BF17">
        <v>1986</v>
      </c>
      <c r="BG17" s="24" t="s">
        <v>733</v>
      </c>
      <c r="BH17" s="24" t="s">
        <v>733</v>
      </c>
      <c r="BI17" s="24" t="s">
        <v>733</v>
      </c>
      <c r="BJ17" s="24" t="s">
        <v>732</v>
      </c>
      <c r="BK17" s="24" t="s">
        <v>733</v>
      </c>
      <c r="BL17" s="25" t="s">
        <v>733</v>
      </c>
      <c r="BM17" s="24" t="s">
        <v>733</v>
      </c>
      <c r="BN17" s="24" t="s">
        <v>732</v>
      </c>
      <c r="BO17" s="24" t="s">
        <v>733</v>
      </c>
      <c r="BP17" s="24" t="s">
        <v>733</v>
      </c>
      <c r="BQ17" s="24" t="s">
        <v>945</v>
      </c>
      <c r="BR17" s="24" t="s">
        <v>945</v>
      </c>
      <c r="BS17" s="25" t="s">
        <v>934</v>
      </c>
      <c r="BT17" s="24" t="s">
        <v>934</v>
      </c>
      <c r="BU17" s="24" t="s">
        <v>934</v>
      </c>
      <c r="BV17" s="24" t="s">
        <v>934</v>
      </c>
      <c r="BW17" s="24" t="s">
        <v>934</v>
      </c>
      <c r="BX17" s="24" t="s">
        <v>934</v>
      </c>
      <c r="BY17" s="25" t="s">
        <v>945</v>
      </c>
      <c r="BZ17" t="s">
        <v>22</v>
      </c>
      <c r="CB17" t="s">
        <v>1</v>
      </c>
      <c r="CC17" s="4">
        <v>4360.8454407179324</v>
      </c>
      <c r="CD17" s="4"/>
      <c r="CE17" s="4"/>
      <c r="CF17" t="s">
        <v>793</v>
      </c>
      <c r="CG17">
        <v>100</v>
      </c>
      <c r="CH17" t="s">
        <v>805</v>
      </c>
      <c r="CI17" s="28">
        <v>0.6</v>
      </c>
      <c r="CJ17" s="10" t="s">
        <v>1442</v>
      </c>
      <c r="CK17" t="s">
        <v>807</v>
      </c>
      <c r="CL17" s="4">
        <v>1305.0705333535416</v>
      </c>
      <c r="CM17" t="s">
        <v>1024</v>
      </c>
      <c r="CN17" s="4">
        <v>115.5</v>
      </c>
      <c r="CO17" s="4"/>
      <c r="CP17" s="4" t="s">
        <v>1</v>
      </c>
      <c r="CQ17" s="4" t="s">
        <v>1</v>
      </c>
      <c r="CR17" s="4" t="s">
        <v>1</v>
      </c>
      <c r="CS17" s="4" t="s">
        <v>1</v>
      </c>
      <c r="CT17" s="4" t="s">
        <v>1</v>
      </c>
      <c r="CU17" s="4" t="s">
        <v>1</v>
      </c>
      <c r="CV17" s="37" t="s">
        <v>855</v>
      </c>
      <c r="CW17">
        <v>100</v>
      </c>
      <c r="CX17">
        <v>0</v>
      </c>
      <c r="CY17">
        <v>60</v>
      </c>
      <c r="CZ17" s="26" t="s">
        <v>1358</v>
      </c>
      <c r="DA17" t="s">
        <v>734</v>
      </c>
      <c r="DB17">
        <v>51.1</v>
      </c>
      <c r="DC17">
        <v>0</v>
      </c>
      <c r="DD17">
        <v>60</v>
      </c>
      <c r="DE17" s="26" t="s">
        <v>1358</v>
      </c>
      <c r="DF17" t="s">
        <v>735</v>
      </c>
      <c r="DG17">
        <v>31.6</v>
      </c>
      <c r="DH17">
        <v>0</v>
      </c>
      <c r="DI17">
        <v>60</v>
      </c>
      <c r="DJ17" s="26" t="s">
        <v>1358</v>
      </c>
      <c r="DK17" t="s">
        <v>736</v>
      </c>
      <c r="DL17">
        <v>17.3</v>
      </c>
      <c r="DM17">
        <v>0</v>
      </c>
      <c r="DN17">
        <v>60</v>
      </c>
      <c r="DO17" s="26" t="s">
        <v>1358</v>
      </c>
      <c r="DP17" t="s">
        <v>6</v>
      </c>
      <c r="DQ17" t="s">
        <v>1</v>
      </c>
      <c r="DR17">
        <v>5.0999999999999996</v>
      </c>
      <c r="DS17">
        <v>0</v>
      </c>
      <c r="DT17">
        <v>60</v>
      </c>
      <c r="DU17" s="26" t="s">
        <v>1358</v>
      </c>
      <c r="EA17" t="s">
        <v>982</v>
      </c>
      <c r="EB17">
        <v>7.7</v>
      </c>
      <c r="EC17">
        <v>0</v>
      </c>
      <c r="ED17">
        <v>60</v>
      </c>
      <c r="EE17" s="26" t="s">
        <v>1358</v>
      </c>
      <c r="EF17" s="26"/>
      <c r="FZ17" t="s">
        <v>806</v>
      </c>
      <c r="GA17">
        <v>1006.5</v>
      </c>
      <c r="GE17" s="26" t="s">
        <v>1358</v>
      </c>
      <c r="HA17" s="5" t="s">
        <v>1</v>
      </c>
      <c r="HB17" s="4" t="s">
        <v>1</v>
      </c>
      <c r="HC17" t="s">
        <v>1</v>
      </c>
      <c r="HD17" t="s">
        <v>1</v>
      </c>
      <c r="HE17" t="s">
        <v>1</v>
      </c>
      <c r="HF17" s="5" t="s">
        <v>1063</v>
      </c>
      <c r="HG17" s="4">
        <v>0.70138888888888906</v>
      </c>
      <c r="HH17">
        <v>0</v>
      </c>
      <c r="HI17">
        <v>60</v>
      </c>
      <c r="HJ17" s="26" t="s">
        <v>1358</v>
      </c>
      <c r="HK17" t="s">
        <v>815</v>
      </c>
      <c r="HL17">
        <v>1.6</v>
      </c>
      <c r="HM17">
        <v>0</v>
      </c>
      <c r="HN17">
        <v>60</v>
      </c>
      <c r="HO17" t="s">
        <v>1</v>
      </c>
      <c r="HP17" s="26" t="s">
        <v>1358</v>
      </c>
      <c r="HZ17" t="s">
        <v>967</v>
      </c>
      <c r="IA17">
        <v>200</v>
      </c>
      <c r="IB17" s="10" t="s">
        <v>1</v>
      </c>
      <c r="IC17" s="10"/>
      <c r="ID17" s="10"/>
      <c r="IE17" s="10" t="s">
        <v>1</v>
      </c>
      <c r="IF17" s="10" t="s">
        <v>1</v>
      </c>
      <c r="IG17" s="10"/>
      <c r="IH17" s="10"/>
      <c r="II17" s="10"/>
      <c r="IJ17" s="10"/>
      <c r="IK17" s="10"/>
      <c r="IL17" s="10"/>
      <c r="IM17" s="10"/>
      <c r="IN17" s="10"/>
      <c r="IO17" s="10"/>
      <c r="IP17" s="10"/>
      <c r="IQ17" s="10"/>
      <c r="IR17" s="10"/>
      <c r="IS17" t="s">
        <v>1</v>
      </c>
      <c r="IT17" t="s">
        <v>1</v>
      </c>
      <c r="IW17" t="s">
        <v>1</v>
      </c>
      <c r="IX17" t="s">
        <v>1</v>
      </c>
      <c r="IY17" t="s">
        <v>1</v>
      </c>
      <c r="IZ17" t="s">
        <v>1</v>
      </c>
      <c r="JA17" t="s">
        <v>1</v>
      </c>
      <c r="JB17" s="3" t="s">
        <v>1</v>
      </c>
      <c r="JC17" t="s">
        <v>1</v>
      </c>
      <c r="JD17" s="4" t="s">
        <v>1</v>
      </c>
      <c r="JE17" t="s">
        <v>810</v>
      </c>
      <c r="JF17">
        <v>100</v>
      </c>
      <c r="JR17" t="s">
        <v>1066</v>
      </c>
      <c r="JS17">
        <v>328.2</v>
      </c>
      <c r="JU17" t="s">
        <v>1</v>
      </c>
      <c r="JW17" t="s">
        <v>1</v>
      </c>
      <c r="JX17">
        <v>0</v>
      </c>
      <c r="JY17">
        <v>60</v>
      </c>
      <c r="JZ17" t="s">
        <v>796</v>
      </c>
      <c r="KA17" t="s">
        <v>16</v>
      </c>
      <c r="KB17" t="s">
        <v>738</v>
      </c>
      <c r="KC17" t="s">
        <v>1</v>
      </c>
      <c r="KD17" t="s">
        <v>1</v>
      </c>
      <c r="KE17" t="s">
        <v>1</v>
      </c>
      <c r="KF17" t="s">
        <v>1</v>
      </c>
      <c r="KG17" t="s">
        <v>1</v>
      </c>
      <c r="KH17" t="s">
        <v>1</v>
      </c>
      <c r="KI17" t="s">
        <v>1</v>
      </c>
      <c r="KJ17" t="s">
        <v>1</v>
      </c>
      <c r="KK17" t="s">
        <v>1</v>
      </c>
    </row>
    <row r="18" spans="1:297" x14ac:dyDescent="0.2">
      <c r="A18">
        <v>17</v>
      </c>
      <c r="B18" t="s">
        <v>705</v>
      </c>
      <c r="C18" t="s">
        <v>29</v>
      </c>
      <c r="D18" t="s">
        <v>19</v>
      </c>
      <c r="E18">
        <v>3</v>
      </c>
      <c r="F18" t="s">
        <v>20</v>
      </c>
      <c r="G18" t="s">
        <v>19</v>
      </c>
      <c r="H18" s="26" t="s">
        <v>1420</v>
      </c>
      <c r="I18" t="s">
        <v>747</v>
      </c>
      <c r="J18">
        <v>1990</v>
      </c>
      <c r="K18">
        <v>38</v>
      </c>
      <c r="L18" t="s">
        <v>1</v>
      </c>
      <c r="M18" t="s">
        <v>748</v>
      </c>
      <c r="N18" t="s">
        <v>1</v>
      </c>
      <c r="O18" t="s">
        <v>749</v>
      </c>
      <c r="P18">
        <v>2</v>
      </c>
      <c r="Q18" t="s">
        <v>746</v>
      </c>
      <c r="R18" t="s">
        <v>742</v>
      </c>
      <c r="S18" t="b">
        <v>0</v>
      </c>
      <c r="T18" t="s">
        <v>1</v>
      </c>
      <c r="U18" t="s">
        <v>1</v>
      </c>
      <c r="V18" t="s">
        <v>1</v>
      </c>
      <c r="W18" t="s">
        <v>1</v>
      </c>
      <c r="X18" t="s">
        <v>1</v>
      </c>
      <c r="Y18" t="s">
        <v>1</v>
      </c>
      <c r="Z18" t="s">
        <v>1</v>
      </c>
      <c r="AA18" t="s">
        <v>1</v>
      </c>
      <c r="AB18" t="s">
        <v>1</v>
      </c>
      <c r="AC18" t="s">
        <v>1</v>
      </c>
      <c r="AD18" t="s">
        <v>1</v>
      </c>
      <c r="AE18" t="s">
        <v>1</v>
      </c>
      <c r="AF18" t="s">
        <v>1</v>
      </c>
      <c r="AG18" t="s">
        <v>1</v>
      </c>
      <c r="AH18" t="s">
        <v>1</v>
      </c>
      <c r="AI18" t="s">
        <v>1</v>
      </c>
      <c r="AJ18" t="s">
        <v>1</v>
      </c>
      <c r="AK18" t="s">
        <v>1</v>
      </c>
      <c r="AL18" t="s">
        <v>1</v>
      </c>
      <c r="AM18" t="s">
        <v>1</v>
      </c>
      <c r="AN18">
        <v>17</v>
      </c>
      <c r="AO18">
        <f t="shared" si="2"/>
        <v>17</v>
      </c>
      <c r="AP18">
        <f t="shared" si="0"/>
        <v>3</v>
      </c>
      <c r="AQ18">
        <f t="shared" si="1"/>
        <v>3</v>
      </c>
      <c r="AR18" s="26" t="s">
        <v>1355</v>
      </c>
      <c r="AS18" s="26" t="s">
        <v>1356</v>
      </c>
      <c r="AT18" t="s">
        <v>708</v>
      </c>
      <c r="AU18" t="s">
        <v>1</v>
      </c>
      <c r="AV18" t="s">
        <v>1</v>
      </c>
      <c r="AW18">
        <v>25.44</v>
      </c>
      <c r="AX18">
        <v>91.83</v>
      </c>
      <c r="AY18" t="s">
        <v>737</v>
      </c>
      <c r="BA18" s="3">
        <v>2</v>
      </c>
      <c r="BB18" s="3"/>
      <c r="BC18" s="3"/>
      <c r="BD18" s="3"/>
      <c r="BE18" s="3"/>
      <c r="BF18">
        <v>1986</v>
      </c>
      <c r="BG18" s="24" t="s">
        <v>733</v>
      </c>
      <c r="BH18" s="24" t="s">
        <v>733</v>
      </c>
      <c r="BI18" s="24" t="s">
        <v>733</v>
      </c>
      <c r="BJ18" s="24" t="s">
        <v>732</v>
      </c>
      <c r="BK18" s="24" t="s">
        <v>733</v>
      </c>
      <c r="BL18" s="25" t="s">
        <v>733</v>
      </c>
      <c r="BM18" s="24" t="s">
        <v>733</v>
      </c>
      <c r="BN18" s="24" t="s">
        <v>732</v>
      </c>
      <c r="BO18" s="24" t="s">
        <v>733</v>
      </c>
      <c r="BP18" s="24" t="s">
        <v>733</v>
      </c>
      <c r="BQ18" s="24" t="s">
        <v>945</v>
      </c>
      <c r="BR18" s="24" t="s">
        <v>945</v>
      </c>
      <c r="BS18" s="25" t="s">
        <v>934</v>
      </c>
      <c r="BT18" s="24" t="s">
        <v>934</v>
      </c>
      <c r="BU18" s="24" t="s">
        <v>934</v>
      </c>
      <c r="BV18" s="24" t="s">
        <v>934</v>
      </c>
      <c r="BW18" s="24" t="s">
        <v>934</v>
      </c>
      <c r="BX18" s="24" t="s">
        <v>934</v>
      </c>
      <c r="BY18" s="25" t="s">
        <v>945</v>
      </c>
      <c r="BZ18" t="s">
        <v>22</v>
      </c>
      <c r="CB18" t="s">
        <v>1</v>
      </c>
      <c r="CC18" s="4">
        <v>5283.9441106509248</v>
      </c>
      <c r="CD18" s="4"/>
      <c r="CE18" s="4"/>
      <c r="CF18" t="s">
        <v>793</v>
      </c>
      <c r="CG18">
        <v>100</v>
      </c>
      <c r="CH18" t="s">
        <v>805</v>
      </c>
      <c r="CI18" s="28">
        <v>0.6</v>
      </c>
      <c r="CJ18" s="10" t="s">
        <v>1442</v>
      </c>
      <c r="CK18" t="s">
        <v>807</v>
      </c>
      <c r="CL18" s="4">
        <v>1527.887453682195</v>
      </c>
      <c r="CM18" t="s">
        <v>1024</v>
      </c>
      <c r="CN18" s="4">
        <v>126</v>
      </c>
      <c r="CO18" s="4"/>
      <c r="CP18" s="4" t="s">
        <v>1</v>
      </c>
      <c r="CQ18" s="4" t="s">
        <v>1</v>
      </c>
      <c r="CR18" s="4" t="s">
        <v>1</v>
      </c>
      <c r="CS18" s="4" t="s">
        <v>1</v>
      </c>
      <c r="CT18" s="4" t="s">
        <v>1</v>
      </c>
      <c r="CU18" s="4" t="s">
        <v>1</v>
      </c>
      <c r="CV18" s="37" t="s">
        <v>855</v>
      </c>
      <c r="CW18">
        <v>100</v>
      </c>
      <c r="CX18">
        <v>0</v>
      </c>
      <c r="CY18">
        <v>60</v>
      </c>
      <c r="CZ18" s="26" t="s">
        <v>1358</v>
      </c>
      <c r="DA18" t="s">
        <v>734</v>
      </c>
      <c r="DB18">
        <v>51.1</v>
      </c>
      <c r="DC18">
        <v>0</v>
      </c>
      <c r="DD18">
        <v>60</v>
      </c>
      <c r="DE18" s="26" t="s">
        <v>1358</v>
      </c>
      <c r="DF18" t="s">
        <v>735</v>
      </c>
      <c r="DG18">
        <v>31.6</v>
      </c>
      <c r="DH18">
        <v>0</v>
      </c>
      <c r="DI18">
        <v>60</v>
      </c>
      <c r="DJ18" s="26" t="s">
        <v>1358</v>
      </c>
      <c r="DK18" t="s">
        <v>736</v>
      </c>
      <c r="DL18">
        <v>17.3</v>
      </c>
      <c r="DM18">
        <v>0</v>
      </c>
      <c r="DN18">
        <v>60</v>
      </c>
      <c r="DO18" s="26" t="s">
        <v>1358</v>
      </c>
      <c r="DP18" t="s">
        <v>6</v>
      </c>
      <c r="DQ18" t="s">
        <v>1</v>
      </c>
      <c r="DR18">
        <v>5.0999999999999996</v>
      </c>
      <c r="DS18">
        <v>0</v>
      </c>
      <c r="DT18">
        <v>60</v>
      </c>
      <c r="DU18" s="26" t="s">
        <v>1358</v>
      </c>
      <c r="EA18" t="s">
        <v>982</v>
      </c>
      <c r="EB18">
        <v>7.7</v>
      </c>
      <c r="EC18">
        <v>0</v>
      </c>
      <c r="ED18">
        <v>60</v>
      </c>
      <c r="EE18" s="26" t="s">
        <v>1358</v>
      </c>
      <c r="EF18" s="26"/>
      <c r="FZ18" t="s">
        <v>806</v>
      </c>
      <c r="GA18">
        <v>1006.5</v>
      </c>
      <c r="GE18" s="26" t="s">
        <v>1358</v>
      </c>
      <c r="HA18" s="5" t="s">
        <v>1</v>
      </c>
      <c r="HB18" s="4" t="s">
        <v>1</v>
      </c>
      <c r="HC18" t="s">
        <v>1</v>
      </c>
      <c r="HD18" t="s">
        <v>1</v>
      </c>
      <c r="HE18" t="s">
        <v>1</v>
      </c>
      <c r="HF18" s="5" t="s">
        <v>1063</v>
      </c>
      <c r="HG18" s="4">
        <v>0.70138888888888906</v>
      </c>
      <c r="HH18">
        <v>0</v>
      </c>
      <c r="HI18">
        <v>60</v>
      </c>
      <c r="HJ18" s="26" t="s">
        <v>1358</v>
      </c>
      <c r="HK18" t="s">
        <v>815</v>
      </c>
      <c r="HL18">
        <v>1.6</v>
      </c>
      <c r="HM18">
        <v>0</v>
      </c>
      <c r="HN18">
        <v>60</v>
      </c>
      <c r="HO18" t="s">
        <v>1</v>
      </c>
      <c r="HP18" s="26" t="s">
        <v>1358</v>
      </c>
      <c r="HZ18" t="s">
        <v>967</v>
      </c>
      <c r="IA18">
        <v>200</v>
      </c>
      <c r="IB18" s="10" t="s">
        <v>1</v>
      </c>
      <c r="IC18" s="10"/>
      <c r="ID18" s="10"/>
      <c r="IE18" s="10" t="s">
        <v>1</v>
      </c>
      <c r="IF18" s="10" t="s">
        <v>1</v>
      </c>
      <c r="IG18" s="10"/>
      <c r="IH18" s="10"/>
      <c r="II18" s="10"/>
      <c r="IJ18" s="10"/>
      <c r="IK18" s="10"/>
      <c r="IL18" s="10"/>
      <c r="IM18" s="10"/>
      <c r="IN18" s="10"/>
      <c r="IO18" s="10"/>
      <c r="IP18" s="10"/>
      <c r="IQ18" s="10"/>
      <c r="IR18" s="10"/>
      <c r="IS18" t="s">
        <v>978</v>
      </c>
      <c r="IT18">
        <v>54</v>
      </c>
      <c r="IW18" t="s">
        <v>1</v>
      </c>
      <c r="IX18" t="s">
        <v>1</v>
      </c>
      <c r="IY18" t="s">
        <v>1</v>
      </c>
      <c r="IZ18" t="s">
        <v>1</v>
      </c>
      <c r="JA18" t="s">
        <v>1</v>
      </c>
      <c r="JB18" s="3" t="s">
        <v>1</v>
      </c>
      <c r="JC18" t="s">
        <v>1</v>
      </c>
      <c r="JD18" s="4" t="s">
        <v>1</v>
      </c>
      <c r="JE18" t="s">
        <v>810</v>
      </c>
      <c r="JF18">
        <v>100</v>
      </c>
      <c r="JR18" t="s">
        <v>1066</v>
      </c>
      <c r="JS18">
        <v>364.1</v>
      </c>
      <c r="JU18" t="s">
        <v>1</v>
      </c>
      <c r="JW18" t="s">
        <v>1</v>
      </c>
      <c r="JX18">
        <v>0</v>
      </c>
      <c r="JY18">
        <v>60</v>
      </c>
      <c r="JZ18" t="s">
        <v>796</v>
      </c>
      <c r="KA18" t="s">
        <v>16</v>
      </c>
      <c r="KB18" t="s">
        <v>738</v>
      </c>
      <c r="KC18" t="s">
        <v>1</v>
      </c>
      <c r="KD18" t="s">
        <v>1</v>
      </c>
      <c r="KE18" t="s">
        <v>1</v>
      </c>
      <c r="KF18" t="s">
        <v>1</v>
      </c>
      <c r="KG18" t="s">
        <v>1</v>
      </c>
      <c r="KH18" t="s">
        <v>1</v>
      </c>
      <c r="KI18" t="s">
        <v>1</v>
      </c>
      <c r="KJ18" t="s">
        <v>1</v>
      </c>
      <c r="KK18" t="s">
        <v>1</v>
      </c>
    </row>
    <row r="19" spans="1:297" x14ac:dyDescent="0.2">
      <c r="A19">
        <v>18</v>
      </c>
      <c r="B19" t="s">
        <v>705</v>
      </c>
      <c r="C19" t="s">
        <v>30</v>
      </c>
      <c r="D19" t="s">
        <v>19</v>
      </c>
      <c r="E19">
        <v>3</v>
      </c>
      <c r="F19" t="s">
        <v>20</v>
      </c>
      <c r="G19" t="s">
        <v>19</v>
      </c>
      <c r="H19" s="26" t="s">
        <v>1420</v>
      </c>
      <c r="I19" t="s">
        <v>747</v>
      </c>
      <c r="J19">
        <v>1990</v>
      </c>
      <c r="K19">
        <v>38</v>
      </c>
      <c r="L19" t="s">
        <v>1</v>
      </c>
      <c r="M19" t="s">
        <v>748</v>
      </c>
      <c r="N19" t="s">
        <v>1</v>
      </c>
      <c r="O19" t="s">
        <v>749</v>
      </c>
      <c r="P19">
        <v>2</v>
      </c>
      <c r="Q19" t="s">
        <v>746</v>
      </c>
      <c r="R19" t="s">
        <v>742</v>
      </c>
      <c r="S19" t="b">
        <v>0</v>
      </c>
      <c r="T19" t="s">
        <v>1</v>
      </c>
      <c r="U19" t="s">
        <v>1</v>
      </c>
      <c r="V19" t="s">
        <v>1</v>
      </c>
      <c r="W19" t="s">
        <v>1</v>
      </c>
      <c r="X19" t="s">
        <v>1</v>
      </c>
      <c r="Y19" t="s">
        <v>1</v>
      </c>
      <c r="Z19" t="s">
        <v>1</v>
      </c>
      <c r="AA19" t="s">
        <v>1</v>
      </c>
      <c r="AB19" t="s">
        <v>1</v>
      </c>
      <c r="AC19" t="s">
        <v>1</v>
      </c>
      <c r="AD19" t="s">
        <v>1</v>
      </c>
      <c r="AE19" t="s">
        <v>1</v>
      </c>
      <c r="AF19" t="s">
        <v>1</v>
      </c>
      <c r="AG19" t="s">
        <v>1</v>
      </c>
      <c r="AH19" t="s">
        <v>1</v>
      </c>
      <c r="AI19" t="s">
        <v>1</v>
      </c>
      <c r="AJ19" t="s">
        <v>1</v>
      </c>
      <c r="AK19" t="s">
        <v>1</v>
      </c>
      <c r="AL19" t="s">
        <v>1</v>
      </c>
      <c r="AM19" t="s">
        <v>1</v>
      </c>
      <c r="AN19">
        <v>18</v>
      </c>
      <c r="AO19">
        <f t="shared" si="2"/>
        <v>18</v>
      </c>
      <c r="AP19">
        <f t="shared" si="0"/>
        <v>3</v>
      </c>
      <c r="AQ19">
        <f t="shared" si="1"/>
        <v>3</v>
      </c>
      <c r="AR19" s="26" t="s">
        <v>1355</v>
      </c>
      <c r="AS19" s="26" t="s">
        <v>1356</v>
      </c>
      <c r="AT19" t="s">
        <v>708</v>
      </c>
      <c r="AU19" t="s">
        <v>1</v>
      </c>
      <c r="AV19" t="s">
        <v>1</v>
      </c>
      <c r="AW19">
        <v>25.44</v>
      </c>
      <c r="AX19">
        <v>91.83</v>
      </c>
      <c r="AY19" t="s">
        <v>737</v>
      </c>
      <c r="BA19" s="3">
        <v>2</v>
      </c>
      <c r="BB19" s="3"/>
      <c r="BC19" s="3"/>
      <c r="BD19" s="3"/>
      <c r="BE19" s="3"/>
      <c r="BF19">
        <v>1986</v>
      </c>
      <c r="BG19" s="24" t="s">
        <v>733</v>
      </c>
      <c r="BH19" s="24" t="s">
        <v>733</v>
      </c>
      <c r="BI19" s="24" t="s">
        <v>733</v>
      </c>
      <c r="BJ19" s="24" t="s">
        <v>732</v>
      </c>
      <c r="BK19" s="24" t="s">
        <v>733</v>
      </c>
      <c r="BL19" s="25" t="s">
        <v>733</v>
      </c>
      <c r="BM19" s="24" t="s">
        <v>733</v>
      </c>
      <c r="BN19" s="24" t="s">
        <v>732</v>
      </c>
      <c r="BO19" s="24" t="s">
        <v>733</v>
      </c>
      <c r="BP19" s="24" t="s">
        <v>733</v>
      </c>
      <c r="BQ19" s="24" t="s">
        <v>945</v>
      </c>
      <c r="BR19" s="24" t="s">
        <v>945</v>
      </c>
      <c r="BS19" s="25" t="s">
        <v>934</v>
      </c>
      <c r="BT19" s="24" t="s">
        <v>934</v>
      </c>
      <c r="BU19" s="24" t="s">
        <v>934</v>
      </c>
      <c r="BV19" s="24" t="s">
        <v>934</v>
      </c>
      <c r="BW19" s="24" t="s">
        <v>934</v>
      </c>
      <c r="BX19" s="24" t="s">
        <v>934</v>
      </c>
      <c r="BY19" s="25" t="s">
        <v>945</v>
      </c>
      <c r="BZ19" t="s">
        <v>22</v>
      </c>
      <c r="CB19" t="s">
        <v>1</v>
      </c>
      <c r="CC19" s="4">
        <v>3724.2256683503506</v>
      </c>
      <c r="CD19" s="4"/>
      <c r="CE19" s="4"/>
      <c r="CF19" t="s">
        <v>793</v>
      </c>
      <c r="CG19">
        <v>100</v>
      </c>
      <c r="CH19" t="s">
        <v>805</v>
      </c>
      <c r="CI19" s="28">
        <v>0.6</v>
      </c>
      <c r="CJ19" s="10" t="s">
        <v>1442</v>
      </c>
      <c r="CK19" t="s">
        <v>807</v>
      </c>
      <c r="CL19" s="4">
        <v>986.760647169751</v>
      </c>
      <c r="CM19" t="s">
        <v>1024</v>
      </c>
      <c r="CN19" s="4">
        <v>71.900000000000006</v>
      </c>
      <c r="CO19" s="4"/>
      <c r="CP19" s="4" t="s">
        <v>1</v>
      </c>
      <c r="CQ19" s="4" t="s">
        <v>1</v>
      </c>
      <c r="CR19" s="4" t="s">
        <v>1</v>
      </c>
      <c r="CS19" s="4" t="s">
        <v>1</v>
      </c>
      <c r="CT19" s="4" t="s">
        <v>1</v>
      </c>
      <c r="CU19" s="4" t="s">
        <v>1</v>
      </c>
      <c r="CV19" s="37" t="s">
        <v>855</v>
      </c>
      <c r="CW19">
        <v>100</v>
      </c>
      <c r="CX19">
        <v>0</v>
      </c>
      <c r="CY19">
        <v>60</v>
      </c>
      <c r="CZ19" s="26" t="s">
        <v>1358</v>
      </c>
      <c r="DA19" t="s">
        <v>734</v>
      </c>
      <c r="DB19">
        <v>70.599999999999994</v>
      </c>
      <c r="DC19">
        <v>0</v>
      </c>
      <c r="DD19">
        <v>60</v>
      </c>
      <c r="DE19" s="26" t="s">
        <v>1358</v>
      </c>
      <c r="DF19" t="s">
        <v>735</v>
      </c>
      <c r="DG19">
        <v>20.2</v>
      </c>
      <c r="DH19">
        <v>0</v>
      </c>
      <c r="DI19">
        <v>60</v>
      </c>
      <c r="DJ19" s="26" t="s">
        <v>1358</v>
      </c>
      <c r="DK19" t="s">
        <v>736</v>
      </c>
      <c r="DL19">
        <v>9.1999999999999993</v>
      </c>
      <c r="DM19">
        <v>0</v>
      </c>
      <c r="DN19">
        <v>60</v>
      </c>
      <c r="DO19" s="26" t="s">
        <v>1358</v>
      </c>
      <c r="DP19" t="s">
        <v>6</v>
      </c>
      <c r="DQ19" t="s">
        <v>1</v>
      </c>
      <c r="DR19">
        <v>5.2</v>
      </c>
      <c r="DS19">
        <v>0</v>
      </c>
      <c r="DT19">
        <v>60</v>
      </c>
      <c r="DU19" s="26" t="s">
        <v>1358</v>
      </c>
      <c r="EA19" t="s">
        <v>982</v>
      </c>
      <c r="EB19">
        <v>8.9</v>
      </c>
      <c r="EC19">
        <v>0</v>
      </c>
      <c r="ED19">
        <v>60</v>
      </c>
      <c r="EE19" s="26" t="s">
        <v>1358</v>
      </c>
      <c r="EF19" s="26"/>
      <c r="FZ19" t="s">
        <v>806</v>
      </c>
      <c r="GA19">
        <v>1006.5</v>
      </c>
      <c r="GE19" s="26" t="s">
        <v>1358</v>
      </c>
      <c r="HA19" s="5" t="s">
        <v>1</v>
      </c>
      <c r="HB19" s="4" t="s">
        <v>1</v>
      </c>
      <c r="HC19" t="s">
        <v>1</v>
      </c>
      <c r="HD19" t="s">
        <v>1</v>
      </c>
      <c r="HE19" t="s">
        <v>1</v>
      </c>
      <c r="HF19" s="5" t="s">
        <v>1063</v>
      </c>
      <c r="HG19" s="4">
        <v>0.80555555555555569</v>
      </c>
      <c r="HH19">
        <v>0</v>
      </c>
      <c r="HI19">
        <v>60</v>
      </c>
      <c r="HJ19" s="26" t="s">
        <v>1358</v>
      </c>
      <c r="HK19" t="s">
        <v>815</v>
      </c>
      <c r="HL19">
        <v>1.6</v>
      </c>
      <c r="HM19">
        <v>0</v>
      </c>
      <c r="HN19">
        <v>60</v>
      </c>
      <c r="HO19" t="s">
        <v>1</v>
      </c>
      <c r="HP19" s="26" t="s">
        <v>1358</v>
      </c>
      <c r="HZ19" t="s">
        <v>1</v>
      </c>
      <c r="IA19" t="s">
        <v>1</v>
      </c>
      <c r="IB19" s="10" t="s">
        <v>1</v>
      </c>
      <c r="IC19" s="10"/>
      <c r="ID19" s="10"/>
      <c r="IE19" s="10" t="s">
        <v>1</v>
      </c>
      <c r="IF19" s="10" t="s">
        <v>1</v>
      </c>
      <c r="IG19" s="10"/>
      <c r="IH19" s="10"/>
      <c r="II19" s="10"/>
      <c r="IJ19" s="10"/>
      <c r="IK19" s="10"/>
      <c r="IL19" s="10"/>
      <c r="IM19" s="10"/>
      <c r="IN19" s="10"/>
      <c r="IO19" s="10"/>
      <c r="IP19" s="10"/>
      <c r="IQ19" s="10"/>
      <c r="IR19" s="10"/>
      <c r="IS19" t="s">
        <v>1</v>
      </c>
      <c r="IT19" t="s">
        <v>1</v>
      </c>
      <c r="IW19" t="s">
        <v>1</v>
      </c>
      <c r="IX19" t="s">
        <v>1</v>
      </c>
      <c r="IY19" t="s">
        <v>1</v>
      </c>
      <c r="IZ19" t="s">
        <v>1</v>
      </c>
      <c r="JA19" t="s">
        <v>1</v>
      </c>
      <c r="JB19" s="3" t="s">
        <v>1</v>
      </c>
      <c r="JC19" t="s">
        <v>1</v>
      </c>
      <c r="JD19" s="4" t="s">
        <v>1</v>
      </c>
      <c r="JE19" t="s">
        <v>810</v>
      </c>
      <c r="JF19">
        <v>100</v>
      </c>
      <c r="JR19" t="s">
        <v>1066</v>
      </c>
      <c r="JS19">
        <v>178.8</v>
      </c>
      <c r="JU19" t="s">
        <v>1</v>
      </c>
      <c r="JW19" t="s">
        <v>1</v>
      </c>
      <c r="JX19">
        <v>0</v>
      </c>
      <c r="JY19">
        <v>60</v>
      </c>
      <c r="JZ19" t="s">
        <v>796</v>
      </c>
      <c r="KA19" t="s">
        <v>16</v>
      </c>
      <c r="KB19" t="s">
        <v>738</v>
      </c>
      <c r="KC19" t="s">
        <v>1</v>
      </c>
      <c r="KD19" t="s">
        <v>1</v>
      </c>
      <c r="KE19" t="s">
        <v>1</v>
      </c>
      <c r="KF19" t="s">
        <v>1</v>
      </c>
      <c r="KG19" t="s">
        <v>1</v>
      </c>
      <c r="KH19" t="s">
        <v>1</v>
      </c>
      <c r="KI19" t="s">
        <v>1</v>
      </c>
      <c r="KJ19" t="s">
        <v>1</v>
      </c>
      <c r="KK19" t="s">
        <v>1</v>
      </c>
    </row>
    <row r="20" spans="1:297" x14ac:dyDescent="0.2">
      <c r="A20">
        <v>19</v>
      </c>
      <c r="B20" t="s">
        <v>705</v>
      </c>
      <c r="C20" t="s">
        <v>31</v>
      </c>
      <c r="D20" t="s">
        <v>19</v>
      </c>
      <c r="E20">
        <v>3</v>
      </c>
      <c r="F20" t="s">
        <v>20</v>
      </c>
      <c r="G20" t="s">
        <v>19</v>
      </c>
      <c r="H20" s="26" t="s">
        <v>1420</v>
      </c>
      <c r="I20" t="s">
        <v>747</v>
      </c>
      <c r="J20">
        <v>1990</v>
      </c>
      <c r="K20">
        <v>38</v>
      </c>
      <c r="L20" t="s">
        <v>1</v>
      </c>
      <c r="M20" t="s">
        <v>748</v>
      </c>
      <c r="N20" t="s">
        <v>1</v>
      </c>
      <c r="O20" t="s">
        <v>749</v>
      </c>
      <c r="P20">
        <v>2</v>
      </c>
      <c r="Q20" t="s">
        <v>746</v>
      </c>
      <c r="R20" t="s">
        <v>742</v>
      </c>
      <c r="S20" t="b">
        <v>0</v>
      </c>
      <c r="T20" t="s">
        <v>1</v>
      </c>
      <c r="U20" t="s">
        <v>1</v>
      </c>
      <c r="V20" t="s">
        <v>1</v>
      </c>
      <c r="W20" t="s">
        <v>1</v>
      </c>
      <c r="X20" t="s">
        <v>1</v>
      </c>
      <c r="Y20" t="s">
        <v>1</v>
      </c>
      <c r="Z20" t="s">
        <v>1</v>
      </c>
      <c r="AA20" t="s">
        <v>1</v>
      </c>
      <c r="AB20" t="s">
        <v>1</v>
      </c>
      <c r="AC20" t="s">
        <v>1</v>
      </c>
      <c r="AD20" t="s">
        <v>1</v>
      </c>
      <c r="AE20" t="s">
        <v>1</v>
      </c>
      <c r="AF20" t="s">
        <v>1</v>
      </c>
      <c r="AG20" t="s">
        <v>1</v>
      </c>
      <c r="AH20" t="s">
        <v>1</v>
      </c>
      <c r="AI20" t="s">
        <v>1</v>
      </c>
      <c r="AJ20" t="s">
        <v>1</v>
      </c>
      <c r="AK20" t="s">
        <v>1</v>
      </c>
      <c r="AL20" t="s">
        <v>1</v>
      </c>
      <c r="AM20" t="s">
        <v>1</v>
      </c>
      <c r="AN20">
        <v>19</v>
      </c>
      <c r="AO20">
        <f t="shared" si="2"/>
        <v>19</v>
      </c>
      <c r="AP20">
        <f t="shared" si="0"/>
        <v>3</v>
      </c>
      <c r="AQ20">
        <f t="shared" si="1"/>
        <v>3</v>
      </c>
      <c r="AR20" s="26" t="s">
        <v>1355</v>
      </c>
      <c r="AS20" s="26" t="s">
        <v>1356</v>
      </c>
      <c r="AT20" t="s">
        <v>708</v>
      </c>
      <c r="AU20" t="s">
        <v>1</v>
      </c>
      <c r="AV20" t="s">
        <v>1</v>
      </c>
      <c r="AW20">
        <v>25.44</v>
      </c>
      <c r="AX20">
        <v>91.83</v>
      </c>
      <c r="AY20" t="s">
        <v>737</v>
      </c>
      <c r="BA20" s="3">
        <v>2</v>
      </c>
      <c r="BB20" s="3"/>
      <c r="BC20" s="3"/>
      <c r="BD20" s="3"/>
      <c r="BE20" s="3"/>
      <c r="BF20">
        <v>1986</v>
      </c>
      <c r="BG20" s="24" t="s">
        <v>733</v>
      </c>
      <c r="BH20" s="24" t="s">
        <v>733</v>
      </c>
      <c r="BI20" s="24" t="s">
        <v>733</v>
      </c>
      <c r="BJ20" s="24" t="s">
        <v>732</v>
      </c>
      <c r="BK20" s="24" t="s">
        <v>733</v>
      </c>
      <c r="BL20" s="25" t="s">
        <v>733</v>
      </c>
      <c r="BM20" s="24" t="s">
        <v>733</v>
      </c>
      <c r="BN20" s="24" t="s">
        <v>732</v>
      </c>
      <c r="BO20" s="24" t="s">
        <v>733</v>
      </c>
      <c r="BP20" s="24" t="s">
        <v>733</v>
      </c>
      <c r="BQ20" s="24" t="s">
        <v>945</v>
      </c>
      <c r="BR20" s="24" t="s">
        <v>945</v>
      </c>
      <c r="BS20" s="25" t="s">
        <v>934</v>
      </c>
      <c r="BT20" s="24" t="s">
        <v>934</v>
      </c>
      <c r="BU20" s="24" t="s">
        <v>934</v>
      </c>
      <c r="BV20" s="24" t="s">
        <v>934</v>
      </c>
      <c r="BW20" s="24" t="s">
        <v>934</v>
      </c>
      <c r="BX20" s="24" t="s">
        <v>934</v>
      </c>
      <c r="BY20" s="25" t="s">
        <v>945</v>
      </c>
      <c r="BZ20" t="s">
        <v>22</v>
      </c>
      <c r="CB20" t="s">
        <v>1</v>
      </c>
      <c r="CC20" s="4">
        <v>4774.6482927568595</v>
      </c>
      <c r="CD20" s="4"/>
      <c r="CE20" s="4"/>
      <c r="CF20" t="s">
        <v>793</v>
      </c>
      <c r="CG20">
        <v>100</v>
      </c>
      <c r="CH20" t="s">
        <v>805</v>
      </c>
      <c r="CI20" s="28">
        <v>0.6</v>
      </c>
      <c r="CJ20" s="10" t="s">
        <v>1442</v>
      </c>
      <c r="CK20" t="s">
        <v>807</v>
      </c>
      <c r="CL20" s="4">
        <v>1496.0564650638159</v>
      </c>
      <c r="CM20" t="s">
        <v>1024</v>
      </c>
      <c r="CN20" s="4">
        <v>113.6</v>
      </c>
      <c r="CO20" s="4"/>
      <c r="CP20" s="4" t="s">
        <v>1</v>
      </c>
      <c r="CQ20" s="4" t="s">
        <v>1</v>
      </c>
      <c r="CR20" s="4" t="s">
        <v>1</v>
      </c>
      <c r="CS20" s="4" t="s">
        <v>1</v>
      </c>
      <c r="CT20" s="4" t="s">
        <v>1</v>
      </c>
      <c r="CU20" s="4" t="s">
        <v>1</v>
      </c>
      <c r="CV20" s="37" t="s">
        <v>855</v>
      </c>
      <c r="CW20">
        <v>100</v>
      </c>
      <c r="CX20">
        <v>0</v>
      </c>
      <c r="CY20">
        <v>60</v>
      </c>
      <c r="CZ20" s="26" t="s">
        <v>1358</v>
      </c>
      <c r="DA20" t="s">
        <v>734</v>
      </c>
      <c r="DB20">
        <v>70.599999999999994</v>
      </c>
      <c r="DC20">
        <v>0</v>
      </c>
      <c r="DD20">
        <v>60</v>
      </c>
      <c r="DE20" s="26" t="s">
        <v>1358</v>
      </c>
      <c r="DF20" t="s">
        <v>735</v>
      </c>
      <c r="DG20">
        <v>20.2</v>
      </c>
      <c r="DH20">
        <v>0</v>
      </c>
      <c r="DI20">
        <v>60</v>
      </c>
      <c r="DJ20" s="26" t="s">
        <v>1358</v>
      </c>
      <c r="DK20" t="s">
        <v>736</v>
      </c>
      <c r="DL20">
        <v>9.1999999999999993</v>
      </c>
      <c r="DM20">
        <v>0</v>
      </c>
      <c r="DN20">
        <v>60</v>
      </c>
      <c r="DO20" s="26" t="s">
        <v>1358</v>
      </c>
      <c r="DP20" t="s">
        <v>6</v>
      </c>
      <c r="DQ20" t="s">
        <v>1</v>
      </c>
      <c r="DR20">
        <v>5.2</v>
      </c>
      <c r="DS20">
        <v>0</v>
      </c>
      <c r="DT20">
        <v>60</v>
      </c>
      <c r="DU20" s="26" t="s">
        <v>1358</v>
      </c>
      <c r="EA20" t="s">
        <v>982</v>
      </c>
      <c r="EB20">
        <v>8.9</v>
      </c>
      <c r="EC20">
        <v>0</v>
      </c>
      <c r="ED20">
        <v>60</v>
      </c>
      <c r="EE20" s="26" t="s">
        <v>1358</v>
      </c>
      <c r="EF20" s="26"/>
      <c r="FZ20" t="s">
        <v>806</v>
      </c>
      <c r="GA20">
        <v>1006.5</v>
      </c>
      <c r="GE20" s="26" t="s">
        <v>1358</v>
      </c>
      <c r="HA20" s="5" t="s">
        <v>1</v>
      </c>
      <c r="HB20" s="4" t="s">
        <v>1</v>
      </c>
      <c r="HC20" t="s">
        <v>1</v>
      </c>
      <c r="HD20" t="s">
        <v>1</v>
      </c>
      <c r="HE20" t="s">
        <v>1</v>
      </c>
      <c r="HF20" s="5" t="s">
        <v>1063</v>
      </c>
      <c r="HG20" s="4">
        <v>0.80555555555555569</v>
      </c>
      <c r="HH20">
        <v>0</v>
      </c>
      <c r="HI20">
        <v>60</v>
      </c>
      <c r="HJ20" s="26" t="s">
        <v>1358</v>
      </c>
      <c r="HK20" t="s">
        <v>815</v>
      </c>
      <c r="HL20">
        <v>1.6</v>
      </c>
      <c r="HM20">
        <v>0</v>
      </c>
      <c r="HN20">
        <v>60</v>
      </c>
      <c r="HO20" t="s">
        <v>1</v>
      </c>
      <c r="HP20" s="26" t="s">
        <v>1358</v>
      </c>
      <c r="HZ20" t="s">
        <v>967</v>
      </c>
      <c r="IA20">
        <v>100</v>
      </c>
      <c r="IB20" s="10" t="s">
        <v>1</v>
      </c>
      <c r="IC20" s="10"/>
      <c r="ID20" s="10"/>
      <c r="IE20" s="10" t="s">
        <v>1</v>
      </c>
      <c r="IF20" s="10" t="s">
        <v>1</v>
      </c>
      <c r="IG20" s="10"/>
      <c r="IH20" s="10"/>
      <c r="II20" s="10"/>
      <c r="IJ20" s="10"/>
      <c r="IK20" s="10"/>
      <c r="IL20" s="10"/>
      <c r="IM20" s="10"/>
      <c r="IN20" s="10"/>
      <c r="IO20" s="10"/>
      <c r="IP20" s="10"/>
      <c r="IQ20" s="10"/>
      <c r="IR20" s="10"/>
      <c r="IS20" t="s">
        <v>1</v>
      </c>
      <c r="IT20" t="s">
        <v>1</v>
      </c>
      <c r="IW20" t="s">
        <v>1</v>
      </c>
      <c r="IX20" t="s">
        <v>1</v>
      </c>
      <c r="IY20" t="s">
        <v>1</v>
      </c>
      <c r="IZ20" t="s">
        <v>1</v>
      </c>
      <c r="JA20" t="s">
        <v>1</v>
      </c>
      <c r="JB20" s="3" t="s">
        <v>1</v>
      </c>
      <c r="JC20" t="s">
        <v>1</v>
      </c>
      <c r="JD20" s="4" t="s">
        <v>1</v>
      </c>
      <c r="JE20" t="s">
        <v>810</v>
      </c>
      <c r="JF20">
        <v>100</v>
      </c>
      <c r="JR20" t="s">
        <v>1066</v>
      </c>
      <c r="JS20">
        <v>460.4</v>
      </c>
      <c r="JU20" t="s">
        <v>1</v>
      </c>
      <c r="JW20" t="s">
        <v>1</v>
      </c>
      <c r="JX20">
        <v>0</v>
      </c>
      <c r="JY20">
        <v>60</v>
      </c>
      <c r="JZ20" t="s">
        <v>796</v>
      </c>
      <c r="KA20" t="s">
        <v>16</v>
      </c>
      <c r="KB20" t="s">
        <v>738</v>
      </c>
      <c r="KC20" t="s">
        <v>1</v>
      </c>
      <c r="KD20" t="s">
        <v>1</v>
      </c>
      <c r="KE20" t="s">
        <v>1</v>
      </c>
      <c r="KF20" t="s">
        <v>1</v>
      </c>
      <c r="KG20" t="s">
        <v>1</v>
      </c>
      <c r="KH20" t="s">
        <v>1</v>
      </c>
      <c r="KI20" t="s">
        <v>1</v>
      </c>
      <c r="KJ20" t="s">
        <v>1</v>
      </c>
      <c r="KK20" t="s">
        <v>1</v>
      </c>
    </row>
    <row r="21" spans="1:297" x14ac:dyDescent="0.2">
      <c r="A21">
        <v>20</v>
      </c>
      <c r="B21" t="s">
        <v>705</v>
      </c>
      <c r="C21" t="s">
        <v>32</v>
      </c>
      <c r="D21" t="s">
        <v>19</v>
      </c>
      <c r="E21">
        <v>3</v>
      </c>
      <c r="F21" t="s">
        <v>20</v>
      </c>
      <c r="G21" t="s">
        <v>19</v>
      </c>
      <c r="H21" s="26" t="s">
        <v>1420</v>
      </c>
      <c r="I21" t="s">
        <v>747</v>
      </c>
      <c r="J21">
        <v>1990</v>
      </c>
      <c r="K21">
        <v>38</v>
      </c>
      <c r="L21" t="s">
        <v>1</v>
      </c>
      <c r="M21" t="s">
        <v>748</v>
      </c>
      <c r="N21" t="s">
        <v>1</v>
      </c>
      <c r="O21" t="s">
        <v>749</v>
      </c>
      <c r="P21">
        <v>2</v>
      </c>
      <c r="Q21" t="s">
        <v>746</v>
      </c>
      <c r="R21" t="s">
        <v>742</v>
      </c>
      <c r="S21" t="b">
        <v>0</v>
      </c>
      <c r="T21" t="s">
        <v>1</v>
      </c>
      <c r="U21" t="s">
        <v>1</v>
      </c>
      <c r="V21" t="s">
        <v>1</v>
      </c>
      <c r="W21" t="s">
        <v>1</v>
      </c>
      <c r="X21" t="s">
        <v>1</v>
      </c>
      <c r="Y21" t="s">
        <v>1</v>
      </c>
      <c r="Z21" t="s">
        <v>1</v>
      </c>
      <c r="AA21" t="s">
        <v>1</v>
      </c>
      <c r="AB21" t="s">
        <v>1</v>
      </c>
      <c r="AC21" t="s">
        <v>1</v>
      </c>
      <c r="AD21" t="s">
        <v>1</v>
      </c>
      <c r="AE21" t="s">
        <v>1</v>
      </c>
      <c r="AF21" t="s">
        <v>1</v>
      </c>
      <c r="AG21" t="s">
        <v>1</v>
      </c>
      <c r="AH21" t="s">
        <v>1</v>
      </c>
      <c r="AI21" t="s">
        <v>1</v>
      </c>
      <c r="AJ21" t="s">
        <v>1</v>
      </c>
      <c r="AK21" t="s">
        <v>1</v>
      </c>
      <c r="AL21" t="s">
        <v>1</v>
      </c>
      <c r="AM21" t="s">
        <v>1</v>
      </c>
      <c r="AN21">
        <v>20</v>
      </c>
      <c r="AO21">
        <f t="shared" si="2"/>
        <v>20</v>
      </c>
      <c r="AP21">
        <f t="shared" si="0"/>
        <v>3</v>
      </c>
      <c r="AQ21">
        <f t="shared" si="1"/>
        <v>3</v>
      </c>
      <c r="AR21" s="26" t="s">
        <v>1355</v>
      </c>
      <c r="AS21" s="26" t="s">
        <v>1356</v>
      </c>
      <c r="AT21" t="s">
        <v>708</v>
      </c>
      <c r="AU21" t="s">
        <v>1</v>
      </c>
      <c r="AV21" t="s">
        <v>1</v>
      </c>
      <c r="AW21">
        <v>25.44</v>
      </c>
      <c r="AX21">
        <v>91.83</v>
      </c>
      <c r="AY21" t="s">
        <v>737</v>
      </c>
      <c r="BA21" s="3">
        <v>2</v>
      </c>
      <c r="BB21" s="3"/>
      <c r="BC21" s="3"/>
      <c r="BD21" s="3"/>
      <c r="BE21" s="3"/>
      <c r="BF21">
        <v>1986</v>
      </c>
      <c r="BG21" s="24" t="s">
        <v>733</v>
      </c>
      <c r="BH21" s="24" t="s">
        <v>733</v>
      </c>
      <c r="BI21" s="24" t="s">
        <v>733</v>
      </c>
      <c r="BJ21" s="24" t="s">
        <v>732</v>
      </c>
      <c r="BK21" s="24" t="s">
        <v>733</v>
      </c>
      <c r="BL21" s="25" t="s">
        <v>733</v>
      </c>
      <c r="BM21" s="24" t="s">
        <v>733</v>
      </c>
      <c r="BN21" s="24" t="s">
        <v>732</v>
      </c>
      <c r="BO21" s="24" t="s">
        <v>733</v>
      </c>
      <c r="BP21" s="24" t="s">
        <v>733</v>
      </c>
      <c r="BQ21" s="24" t="s">
        <v>945</v>
      </c>
      <c r="BR21" s="24" t="s">
        <v>945</v>
      </c>
      <c r="BS21" s="25" t="s">
        <v>934</v>
      </c>
      <c r="BT21" s="24" t="s">
        <v>934</v>
      </c>
      <c r="BU21" s="24" t="s">
        <v>934</v>
      </c>
      <c r="BV21" s="24" t="s">
        <v>934</v>
      </c>
      <c r="BW21" s="24" t="s">
        <v>934</v>
      </c>
      <c r="BX21" s="24" t="s">
        <v>934</v>
      </c>
      <c r="BY21" s="25" t="s">
        <v>945</v>
      </c>
      <c r="BZ21" t="s">
        <v>22</v>
      </c>
      <c r="CB21" t="s">
        <v>1</v>
      </c>
      <c r="CC21" s="4">
        <v>7289.2963936088063</v>
      </c>
      <c r="CD21" s="4"/>
      <c r="CE21" s="4"/>
      <c r="CF21" t="s">
        <v>793</v>
      </c>
      <c r="CG21">
        <v>100</v>
      </c>
      <c r="CH21" t="s">
        <v>805</v>
      </c>
      <c r="CI21" s="28">
        <v>0.6</v>
      </c>
      <c r="CJ21" s="10" t="s">
        <v>1442</v>
      </c>
      <c r="CK21" t="s">
        <v>807</v>
      </c>
      <c r="CL21" s="4">
        <v>1941.690305721123</v>
      </c>
      <c r="CM21" t="s">
        <v>1024</v>
      </c>
      <c r="CN21" s="4">
        <v>170.6</v>
      </c>
      <c r="CO21" s="4"/>
      <c r="CP21" s="4" t="s">
        <v>1</v>
      </c>
      <c r="CQ21" s="4" t="s">
        <v>1</v>
      </c>
      <c r="CR21" s="4" t="s">
        <v>1</v>
      </c>
      <c r="CS21" s="4" t="s">
        <v>1</v>
      </c>
      <c r="CT21" s="4" t="s">
        <v>1</v>
      </c>
      <c r="CU21" s="4" t="s">
        <v>1</v>
      </c>
      <c r="CV21" s="37" t="s">
        <v>855</v>
      </c>
      <c r="CW21">
        <v>100</v>
      </c>
      <c r="CX21">
        <v>0</v>
      </c>
      <c r="CY21">
        <v>60</v>
      </c>
      <c r="CZ21" s="26" t="s">
        <v>1358</v>
      </c>
      <c r="DA21" t="s">
        <v>734</v>
      </c>
      <c r="DB21">
        <v>70.599999999999994</v>
      </c>
      <c r="DC21">
        <v>0</v>
      </c>
      <c r="DD21">
        <v>60</v>
      </c>
      <c r="DE21" s="26" t="s">
        <v>1358</v>
      </c>
      <c r="DF21" t="s">
        <v>735</v>
      </c>
      <c r="DG21">
        <v>20.2</v>
      </c>
      <c r="DH21">
        <v>0</v>
      </c>
      <c r="DI21">
        <v>60</v>
      </c>
      <c r="DJ21" s="26" t="s">
        <v>1358</v>
      </c>
      <c r="DK21" t="s">
        <v>736</v>
      </c>
      <c r="DL21">
        <v>9.1999999999999993</v>
      </c>
      <c r="DM21">
        <v>0</v>
      </c>
      <c r="DN21">
        <v>60</v>
      </c>
      <c r="DO21" s="26" t="s">
        <v>1358</v>
      </c>
      <c r="DP21" t="s">
        <v>6</v>
      </c>
      <c r="DQ21" t="s">
        <v>1</v>
      </c>
      <c r="DR21">
        <v>5.2</v>
      </c>
      <c r="DS21">
        <v>0</v>
      </c>
      <c r="DT21">
        <v>60</v>
      </c>
      <c r="DU21" s="26" t="s">
        <v>1358</v>
      </c>
      <c r="EA21" t="s">
        <v>982</v>
      </c>
      <c r="EB21">
        <v>8.9</v>
      </c>
      <c r="EC21">
        <v>0</v>
      </c>
      <c r="ED21">
        <v>60</v>
      </c>
      <c r="EE21" s="26" t="s">
        <v>1358</v>
      </c>
      <c r="EF21" s="26"/>
      <c r="FZ21" t="s">
        <v>806</v>
      </c>
      <c r="GA21">
        <v>1006.5</v>
      </c>
      <c r="GE21" s="26" t="s">
        <v>1358</v>
      </c>
      <c r="HA21" s="5" t="s">
        <v>1</v>
      </c>
      <c r="HB21" s="4" t="s">
        <v>1</v>
      </c>
      <c r="HC21" t="s">
        <v>1</v>
      </c>
      <c r="HD21" t="s">
        <v>1</v>
      </c>
      <c r="HE21" t="s">
        <v>1</v>
      </c>
      <c r="HF21" s="5" t="s">
        <v>1063</v>
      </c>
      <c r="HG21" s="4">
        <v>0.80555555555555569</v>
      </c>
      <c r="HH21">
        <v>0</v>
      </c>
      <c r="HI21">
        <v>60</v>
      </c>
      <c r="HJ21" s="26" t="s">
        <v>1358</v>
      </c>
      <c r="HK21" t="s">
        <v>815</v>
      </c>
      <c r="HL21">
        <v>1.6</v>
      </c>
      <c r="HM21">
        <v>0</v>
      </c>
      <c r="HN21">
        <v>60</v>
      </c>
      <c r="HO21" t="s">
        <v>1</v>
      </c>
      <c r="HP21" s="26" t="s">
        <v>1358</v>
      </c>
      <c r="HZ21" t="s">
        <v>967</v>
      </c>
      <c r="IA21">
        <v>200</v>
      </c>
      <c r="IB21" s="10" t="s">
        <v>1</v>
      </c>
      <c r="IC21" s="10"/>
      <c r="ID21" s="10"/>
      <c r="IE21" s="10" t="s">
        <v>1</v>
      </c>
      <c r="IF21" s="10" t="s">
        <v>1</v>
      </c>
      <c r="IG21" s="10"/>
      <c r="IH21" s="10"/>
      <c r="II21" s="10"/>
      <c r="IJ21" s="10"/>
      <c r="IK21" s="10"/>
      <c r="IL21" s="10"/>
      <c r="IM21" s="10"/>
      <c r="IN21" s="10"/>
      <c r="IO21" s="10"/>
      <c r="IP21" s="10"/>
      <c r="IQ21" s="10"/>
      <c r="IR21" s="10"/>
      <c r="IS21" t="s">
        <v>1</v>
      </c>
      <c r="IT21" t="s">
        <v>1</v>
      </c>
      <c r="IW21" t="s">
        <v>1</v>
      </c>
      <c r="IX21" t="s">
        <v>1</v>
      </c>
      <c r="IY21" t="s">
        <v>1</v>
      </c>
      <c r="IZ21" t="s">
        <v>1</v>
      </c>
      <c r="JA21" t="s">
        <v>1</v>
      </c>
      <c r="JB21" s="3" t="s">
        <v>1</v>
      </c>
      <c r="JC21" t="s">
        <v>1</v>
      </c>
      <c r="JD21" s="4" t="s">
        <v>1</v>
      </c>
      <c r="JE21" t="s">
        <v>810</v>
      </c>
      <c r="JF21">
        <v>100</v>
      </c>
      <c r="JR21" t="s">
        <v>1066</v>
      </c>
      <c r="JS21">
        <v>630.79999999999995</v>
      </c>
      <c r="JU21" t="s">
        <v>1</v>
      </c>
      <c r="JW21" t="s">
        <v>1</v>
      </c>
      <c r="JX21">
        <v>0</v>
      </c>
      <c r="JY21">
        <v>60</v>
      </c>
      <c r="JZ21" t="s">
        <v>796</v>
      </c>
      <c r="KA21" t="s">
        <v>16</v>
      </c>
      <c r="KB21" t="s">
        <v>738</v>
      </c>
      <c r="KC21" t="s">
        <v>1</v>
      </c>
      <c r="KD21" t="s">
        <v>1</v>
      </c>
      <c r="KE21" t="s">
        <v>1</v>
      </c>
      <c r="KF21" t="s">
        <v>1</v>
      </c>
      <c r="KG21" t="s">
        <v>1</v>
      </c>
      <c r="KH21" t="s">
        <v>1</v>
      </c>
      <c r="KI21" t="s">
        <v>1</v>
      </c>
      <c r="KJ21" t="s">
        <v>1</v>
      </c>
      <c r="KK21" t="s">
        <v>1</v>
      </c>
    </row>
    <row r="22" spans="1:297" x14ac:dyDescent="0.2">
      <c r="A22">
        <v>21</v>
      </c>
      <c r="B22" t="s">
        <v>705</v>
      </c>
      <c r="C22" t="s">
        <v>33</v>
      </c>
      <c r="D22" t="s">
        <v>19</v>
      </c>
      <c r="E22">
        <v>3</v>
      </c>
      <c r="F22" t="s">
        <v>20</v>
      </c>
      <c r="G22" t="s">
        <v>19</v>
      </c>
      <c r="H22" s="26" t="s">
        <v>1420</v>
      </c>
      <c r="I22" t="s">
        <v>747</v>
      </c>
      <c r="J22">
        <v>1990</v>
      </c>
      <c r="K22">
        <v>38</v>
      </c>
      <c r="L22" t="s">
        <v>1</v>
      </c>
      <c r="M22" t="s">
        <v>748</v>
      </c>
      <c r="N22" t="s">
        <v>1</v>
      </c>
      <c r="O22" t="s">
        <v>749</v>
      </c>
      <c r="P22">
        <v>2</v>
      </c>
      <c r="Q22" t="s">
        <v>746</v>
      </c>
      <c r="R22" t="s">
        <v>742</v>
      </c>
      <c r="S22" t="b">
        <v>0</v>
      </c>
      <c r="T22" t="s">
        <v>1</v>
      </c>
      <c r="U22" t="s">
        <v>1</v>
      </c>
      <c r="V22" t="s">
        <v>1</v>
      </c>
      <c r="W22" t="s">
        <v>1</v>
      </c>
      <c r="X22" t="s">
        <v>1</v>
      </c>
      <c r="Y22" t="s">
        <v>1</v>
      </c>
      <c r="Z22" t="s">
        <v>1</v>
      </c>
      <c r="AA22" t="s">
        <v>1</v>
      </c>
      <c r="AB22" t="s">
        <v>1</v>
      </c>
      <c r="AC22" t="s">
        <v>1</v>
      </c>
      <c r="AD22" t="s">
        <v>1</v>
      </c>
      <c r="AE22" t="s">
        <v>1</v>
      </c>
      <c r="AF22" t="s">
        <v>1</v>
      </c>
      <c r="AG22" t="s">
        <v>1</v>
      </c>
      <c r="AH22" t="s">
        <v>1</v>
      </c>
      <c r="AI22" t="s">
        <v>1</v>
      </c>
      <c r="AJ22" t="s">
        <v>1</v>
      </c>
      <c r="AK22" t="s">
        <v>1</v>
      </c>
      <c r="AL22" t="s">
        <v>1</v>
      </c>
      <c r="AM22" t="s">
        <v>1</v>
      </c>
      <c r="AN22">
        <v>21</v>
      </c>
      <c r="AO22">
        <f t="shared" si="2"/>
        <v>21</v>
      </c>
      <c r="AP22">
        <f t="shared" si="0"/>
        <v>3</v>
      </c>
      <c r="AQ22">
        <f t="shared" si="1"/>
        <v>3</v>
      </c>
      <c r="AR22" s="26" t="s">
        <v>1355</v>
      </c>
      <c r="AS22" s="26" t="s">
        <v>1356</v>
      </c>
      <c r="AT22" t="s">
        <v>708</v>
      </c>
      <c r="AU22" t="s">
        <v>1</v>
      </c>
      <c r="AV22" t="s">
        <v>1</v>
      </c>
      <c r="AW22">
        <v>25.44</v>
      </c>
      <c r="AX22">
        <v>91.83</v>
      </c>
      <c r="AY22" t="s">
        <v>737</v>
      </c>
      <c r="BA22" s="3">
        <v>2</v>
      </c>
      <c r="BB22" s="3"/>
      <c r="BC22" s="3"/>
      <c r="BD22" s="3"/>
      <c r="BE22" s="3"/>
      <c r="BF22">
        <v>1986</v>
      </c>
      <c r="BG22" s="24" t="s">
        <v>733</v>
      </c>
      <c r="BH22" s="24" t="s">
        <v>733</v>
      </c>
      <c r="BI22" s="24" t="s">
        <v>733</v>
      </c>
      <c r="BJ22" s="24" t="s">
        <v>732</v>
      </c>
      <c r="BK22" s="24" t="s">
        <v>733</v>
      </c>
      <c r="BL22" s="25" t="s">
        <v>733</v>
      </c>
      <c r="BM22" s="24" t="s">
        <v>733</v>
      </c>
      <c r="BN22" s="24" t="s">
        <v>732</v>
      </c>
      <c r="BO22" s="24" t="s">
        <v>733</v>
      </c>
      <c r="BP22" s="24" t="s">
        <v>733</v>
      </c>
      <c r="BQ22" s="24" t="s">
        <v>945</v>
      </c>
      <c r="BR22" s="24" t="s">
        <v>945</v>
      </c>
      <c r="BS22" s="25" t="s">
        <v>934</v>
      </c>
      <c r="BT22" s="24" t="s">
        <v>934</v>
      </c>
      <c r="BU22" s="24" t="s">
        <v>934</v>
      </c>
      <c r="BV22" s="24" t="s">
        <v>934</v>
      </c>
      <c r="BW22" s="24" t="s">
        <v>934</v>
      </c>
      <c r="BX22" s="24" t="s">
        <v>934</v>
      </c>
      <c r="BY22" s="25" t="s">
        <v>945</v>
      </c>
      <c r="BZ22" t="s">
        <v>22</v>
      </c>
      <c r="CB22" t="s">
        <v>1</v>
      </c>
      <c r="CC22" s="4">
        <v>8021.409131831525</v>
      </c>
      <c r="CD22" s="4"/>
      <c r="CE22" s="4"/>
      <c r="CF22" t="s">
        <v>793</v>
      </c>
      <c r="CG22">
        <v>100</v>
      </c>
      <c r="CH22" t="s">
        <v>805</v>
      </c>
      <c r="CI22" s="28">
        <v>0.6</v>
      </c>
      <c r="CJ22" s="10" t="s">
        <v>1442</v>
      </c>
      <c r="CK22" t="s">
        <v>807</v>
      </c>
      <c r="CL22" s="4">
        <v>2069.0142601946391</v>
      </c>
      <c r="CM22" t="s">
        <v>1024</v>
      </c>
      <c r="CN22" s="4">
        <v>189.1</v>
      </c>
      <c r="CO22" s="4"/>
      <c r="CP22" s="4" t="s">
        <v>1</v>
      </c>
      <c r="CQ22" s="4" t="s">
        <v>1</v>
      </c>
      <c r="CR22" s="4" t="s">
        <v>1</v>
      </c>
      <c r="CS22" s="4" t="s">
        <v>1</v>
      </c>
      <c r="CT22" s="4" t="s">
        <v>1</v>
      </c>
      <c r="CU22" s="4" t="s">
        <v>1</v>
      </c>
      <c r="CV22" s="37" t="s">
        <v>855</v>
      </c>
      <c r="CW22">
        <v>100</v>
      </c>
      <c r="CX22">
        <v>0</v>
      </c>
      <c r="CY22">
        <v>60</v>
      </c>
      <c r="CZ22" s="26" t="s">
        <v>1358</v>
      </c>
      <c r="DA22" t="s">
        <v>734</v>
      </c>
      <c r="DB22">
        <v>70.599999999999994</v>
      </c>
      <c r="DC22">
        <v>0</v>
      </c>
      <c r="DD22">
        <v>60</v>
      </c>
      <c r="DE22" s="26" t="s">
        <v>1358</v>
      </c>
      <c r="DF22" t="s">
        <v>735</v>
      </c>
      <c r="DG22">
        <v>20.2</v>
      </c>
      <c r="DH22">
        <v>0</v>
      </c>
      <c r="DI22">
        <v>60</v>
      </c>
      <c r="DJ22" s="26" t="s">
        <v>1358</v>
      </c>
      <c r="DK22" t="s">
        <v>736</v>
      </c>
      <c r="DL22">
        <v>9.1999999999999993</v>
      </c>
      <c r="DM22">
        <v>0</v>
      </c>
      <c r="DN22">
        <v>60</v>
      </c>
      <c r="DO22" s="26" t="s">
        <v>1358</v>
      </c>
      <c r="DP22" t="s">
        <v>6</v>
      </c>
      <c r="DQ22" t="s">
        <v>1</v>
      </c>
      <c r="DR22">
        <v>5.2</v>
      </c>
      <c r="DS22">
        <v>0</v>
      </c>
      <c r="DT22">
        <v>60</v>
      </c>
      <c r="DU22" s="26" t="s">
        <v>1358</v>
      </c>
      <c r="EA22" t="s">
        <v>982</v>
      </c>
      <c r="EB22">
        <v>8.9</v>
      </c>
      <c r="EC22">
        <v>0</v>
      </c>
      <c r="ED22">
        <v>60</v>
      </c>
      <c r="EE22" s="26" t="s">
        <v>1358</v>
      </c>
      <c r="EF22" s="26"/>
      <c r="FZ22" t="s">
        <v>806</v>
      </c>
      <c r="GA22">
        <v>1006.5</v>
      </c>
      <c r="GE22" s="26" t="s">
        <v>1358</v>
      </c>
      <c r="HA22" s="5" t="s">
        <v>1</v>
      </c>
      <c r="HB22" s="4" t="s">
        <v>1</v>
      </c>
      <c r="HC22" t="s">
        <v>1</v>
      </c>
      <c r="HD22" t="s">
        <v>1</v>
      </c>
      <c r="HE22" t="s">
        <v>1</v>
      </c>
      <c r="HF22" s="5" t="s">
        <v>1063</v>
      </c>
      <c r="HG22" s="4">
        <v>0.80555555555555569</v>
      </c>
      <c r="HH22">
        <v>0</v>
      </c>
      <c r="HI22">
        <v>60</v>
      </c>
      <c r="HJ22" s="26" t="s">
        <v>1358</v>
      </c>
      <c r="HK22" t="s">
        <v>815</v>
      </c>
      <c r="HL22">
        <v>1.6</v>
      </c>
      <c r="HM22">
        <v>0</v>
      </c>
      <c r="HN22">
        <v>60</v>
      </c>
      <c r="HO22" t="s">
        <v>1</v>
      </c>
      <c r="HP22" s="26" t="s">
        <v>1358</v>
      </c>
      <c r="HZ22" t="s">
        <v>967</v>
      </c>
      <c r="IA22">
        <v>200</v>
      </c>
      <c r="IB22" s="10" t="s">
        <v>1</v>
      </c>
      <c r="IC22" s="10"/>
      <c r="ID22" s="10"/>
      <c r="IE22" s="10" t="s">
        <v>1</v>
      </c>
      <c r="IF22" s="10" t="s">
        <v>1</v>
      </c>
      <c r="IG22" s="10"/>
      <c r="IH22" s="10"/>
      <c r="II22" s="10"/>
      <c r="IJ22" s="10"/>
      <c r="IK22" s="10"/>
      <c r="IL22" s="10"/>
      <c r="IM22" s="10"/>
      <c r="IN22" s="10"/>
      <c r="IO22" s="10"/>
      <c r="IP22" s="10"/>
      <c r="IQ22" s="10"/>
      <c r="IR22" s="10"/>
      <c r="IS22" t="s">
        <v>978</v>
      </c>
      <c r="IT22">
        <v>54</v>
      </c>
      <c r="IW22" t="s">
        <v>1</v>
      </c>
      <c r="IX22" t="s">
        <v>1</v>
      </c>
      <c r="IY22" t="s">
        <v>1</v>
      </c>
      <c r="IZ22" t="s">
        <v>1</v>
      </c>
      <c r="JA22" t="s">
        <v>1</v>
      </c>
      <c r="JB22" s="3" t="s">
        <v>1</v>
      </c>
      <c r="JC22" t="s">
        <v>1</v>
      </c>
      <c r="JD22" s="4" t="s">
        <v>1</v>
      </c>
      <c r="JE22" t="s">
        <v>810</v>
      </c>
      <c r="JF22">
        <v>100</v>
      </c>
      <c r="JR22" t="s">
        <v>1066</v>
      </c>
      <c r="JS22">
        <v>644.5</v>
      </c>
      <c r="JU22" t="s">
        <v>1</v>
      </c>
      <c r="JW22" t="s">
        <v>1</v>
      </c>
      <c r="JX22">
        <v>0</v>
      </c>
      <c r="JY22">
        <v>60</v>
      </c>
      <c r="JZ22" t="s">
        <v>796</v>
      </c>
      <c r="KA22" t="s">
        <v>16</v>
      </c>
      <c r="KB22" t="s">
        <v>738</v>
      </c>
      <c r="KC22" t="s">
        <v>1</v>
      </c>
      <c r="KD22" t="s">
        <v>1</v>
      </c>
      <c r="KE22" t="s">
        <v>1</v>
      </c>
      <c r="KF22" t="s">
        <v>1</v>
      </c>
      <c r="KG22" t="s">
        <v>1</v>
      </c>
      <c r="KH22" t="s">
        <v>1</v>
      </c>
      <c r="KI22" t="s">
        <v>1</v>
      </c>
      <c r="KJ22" t="s">
        <v>1</v>
      </c>
      <c r="KK22" t="s">
        <v>1</v>
      </c>
    </row>
    <row r="23" spans="1:297" x14ac:dyDescent="0.2">
      <c r="A23">
        <v>22</v>
      </c>
      <c r="B23" t="s">
        <v>705</v>
      </c>
      <c r="C23" t="s">
        <v>35</v>
      </c>
      <c r="D23" t="s">
        <v>34</v>
      </c>
      <c r="E23">
        <v>4</v>
      </c>
      <c r="F23" t="s">
        <v>1296</v>
      </c>
      <c r="G23" t="s">
        <v>1</v>
      </c>
      <c r="H23" s="26" t="s">
        <v>1420</v>
      </c>
      <c r="I23" t="s">
        <v>1</v>
      </c>
      <c r="J23" t="s">
        <v>1</v>
      </c>
      <c r="K23" t="s">
        <v>1</v>
      </c>
      <c r="L23" t="s">
        <v>1</v>
      </c>
      <c r="M23" t="s">
        <v>1</v>
      </c>
      <c r="N23" t="s">
        <v>1</v>
      </c>
      <c r="O23" t="s">
        <v>1</v>
      </c>
      <c r="P23" t="s">
        <v>1</v>
      </c>
      <c r="Q23" t="s">
        <v>1</v>
      </c>
      <c r="R23" t="s">
        <v>1</v>
      </c>
      <c r="S23" t="s">
        <v>1</v>
      </c>
      <c r="T23" t="s">
        <v>1</v>
      </c>
      <c r="U23" t="s">
        <v>1</v>
      </c>
      <c r="V23" t="s">
        <v>1</v>
      </c>
      <c r="W23" t="s">
        <v>1</v>
      </c>
      <c r="X23" t="s">
        <v>1</v>
      </c>
      <c r="Y23" t="s">
        <v>1</v>
      </c>
      <c r="Z23" t="s">
        <v>1</v>
      </c>
      <c r="AA23" t="s">
        <v>1</v>
      </c>
      <c r="AB23" t="s">
        <v>1</v>
      </c>
      <c r="AC23" t="s">
        <v>1</v>
      </c>
      <c r="AD23" t="s">
        <v>1</v>
      </c>
      <c r="AE23" t="s">
        <v>1</v>
      </c>
      <c r="AF23" t="s">
        <v>1</v>
      </c>
      <c r="AG23" t="s">
        <v>1</v>
      </c>
      <c r="AH23" t="s">
        <v>1</v>
      </c>
      <c r="AI23" t="s">
        <v>1</v>
      </c>
      <c r="AJ23" t="s">
        <v>1</v>
      </c>
      <c r="AK23" t="s">
        <v>1</v>
      </c>
      <c r="AL23" t="s">
        <v>1</v>
      </c>
      <c r="AM23" t="s">
        <v>1</v>
      </c>
      <c r="AN23">
        <v>22</v>
      </c>
      <c r="AO23">
        <f t="shared" si="2"/>
        <v>22</v>
      </c>
      <c r="AP23">
        <f t="shared" si="0"/>
        <v>4</v>
      </c>
      <c r="AQ23">
        <f t="shared" si="1"/>
        <v>4</v>
      </c>
      <c r="AR23" s="26" t="s">
        <v>1355</v>
      </c>
      <c r="AS23" s="26" t="s">
        <v>1356</v>
      </c>
      <c r="AT23" t="s">
        <v>706</v>
      </c>
      <c r="AU23" t="s">
        <v>1</v>
      </c>
      <c r="AV23" t="s">
        <v>1</v>
      </c>
      <c r="AW23">
        <v>-17.600000000000001</v>
      </c>
      <c r="AX23">
        <v>31.14</v>
      </c>
      <c r="AY23" t="s">
        <v>737</v>
      </c>
      <c r="BA23" s="3">
        <v>3</v>
      </c>
      <c r="BB23" s="3"/>
      <c r="BC23" s="3"/>
      <c r="BD23" s="3"/>
      <c r="BE23" s="3"/>
      <c r="BF23">
        <v>1999</v>
      </c>
      <c r="BG23" s="24" t="s">
        <v>733</v>
      </c>
      <c r="BH23" s="24" t="s">
        <v>733</v>
      </c>
      <c r="BI23" s="24" t="s">
        <v>733</v>
      </c>
      <c r="BJ23" s="24" t="s">
        <v>732</v>
      </c>
      <c r="BK23" s="24" t="s">
        <v>733</v>
      </c>
      <c r="BL23" s="25" t="s">
        <v>733</v>
      </c>
      <c r="BM23" s="24" t="s">
        <v>733</v>
      </c>
      <c r="BN23" s="24" t="s">
        <v>732</v>
      </c>
      <c r="BO23" s="24" t="s">
        <v>733</v>
      </c>
      <c r="BP23" s="24" t="s">
        <v>733</v>
      </c>
      <c r="BQ23" s="24" t="s">
        <v>945</v>
      </c>
      <c r="BR23" s="24" t="s">
        <v>945</v>
      </c>
      <c r="BS23" s="25" t="s">
        <v>934</v>
      </c>
      <c r="BT23" s="24" t="s">
        <v>934</v>
      </c>
      <c r="BU23" s="24" t="s">
        <v>934</v>
      </c>
      <c r="BV23" s="24" t="s">
        <v>934</v>
      </c>
      <c r="BW23" s="24" t="s">
        <v>934</v>
      </c>
      <c r="BX23" s="24" t="s">
        <v>934</v>
      </c>
      <c r="BY23" s="25" t="s">
        <v>945</v>
      </c>
      <c r="BZ23" t="s">
        <v>5</v>
      </c>
      <c r="CB23" t="s">
        <v>1</v>
      </c>
      <c r="CC23" s="4" t="s">
        <v>1</v>
      </c>
      <c r="CD23" s="4"/>
      <c r="CE23" s="4"/>
      <c r="CF23" t="s">
        <v>1</v>
      </c>
      <c r="CG23" t="s">
        <v>1</v>
      </c>
      <c r="CH23" t="s">
        <v>805</v>
      </c>
      <c r="CI23" s="28">
        <v>1.6</v>
      </c>
      <c r="CJ23" s="10" t="s">
        <v>1442</v>
      </c>
      <c r="CK23" s="9" t="s">
        <v>1</v>
      </c>
      <c r="CL23" s="4" t="s">
        <v>1</v>
      </c>
      <c r="CM23" t="s">
        <v>1024</v>
      </c>
      <c r="CN23" s="4">
        <f>AVERAGE(25.5,22.5,4.5)</f>
        <v>17.5</v>
      </c>
      <c r="CO23" s="4"/>
      <c r="CP23" s="4" t="s">
        <v>1</v>
      </c>
      <c r="CQ23" s="4" t="s">
        <v>1</v>
      </c>
      <c r="CR23" s="4" t="s">
        <v>1</v>
      </c>
      <c r="CS23" s="4" t="s">
        <v>1</v>
      </c>
      <c r="CT23" s="4" t="s">
        <v>1</v>
      </c>
      <c r="CU23" s="4" t="s">
        <v>1</v>
      </c>
      <c r="CV23" s="37" t="s">
        <v>853</v>
      </c>
      <c r="CW23">
        <v>100</v>
      </c>
      <c r="CX23">
        <v>0</v>
      </c>
      <c r="CY23">
        <v>30</v>
      </c>
      <c r="CZ23" s="26" t="s">
        <v>1358</v>
      </c>
      <c r="DA23" t="s">
        <v>734</v>
      </c>
      <c r="DB23">
        <v>91.3</v>
      </c>
      <c r="DC23">
        <v>0</v>
      </c>
      <c r="DD23">
        <v>30</v>
      </c>
      <c r="DE23" s="26" t="s">
        <v>1358</v>
      </c>
      <c r="DF23" t="s">
        <v>735</v>
      </c>
      <c r="DG23">
        <v>3</v>
      </c>
      <c r="DH23">
        <v>0</v>
      </c>
      <c r="DI23">
        <v>30</v>
      </c>
      <c r="DJ23" s="26" t="s">
        <v>1358</v>
      </c>
      <c r="DK23" t="s">
        <v>736</v>
      </c>
      <c r="DL23">
        <v>6.1</v>
      </c>
      <c r="DM23">
        <v>0</v>
      </c>
      <c r="DN23">
        <v>30</v>
      </c>
      <c r="DO23" s="26" t="s">
        <v>1358</v>
      </c>
      <c r="DP23" t="s">
        <v>6</v>
      </c>
      <c r="DQ23" t="s">
        <v>1</v>
      </c>
      <c r="DR23">
        <v>4.5999999999999996</v>
      </c>
      <c r="DS23">
        <v>0</v>
      </c>
      <c r="DT23">
        <v>30</v>
      </c>
      <c r="DU23" s="26" t="s">
        <v>1358</v>
      </c>
      <c r="EA23" t="s">
        <v>982</v>
      </c>
      <c r="EB23">
        <v>2.4</v>
      </c>
      <c r="EC23">
        <v>0</v>
      </c>
      <c r="ED23">
        <v>30</v>
      </c>
      <c r="EE23" s="26" t="s">
        <v>1358</v>
      </c>
      <c r="EF23" s="26"/>
      <c r="FZ23" t="s">
        <v>806</v>
      </c>
      <c r="GA23">
        <v>1207.333333</v>
      </c>
      <c r="GE23" s="26" t="s">
        <v>1358</v>
      </c>
      <c r="HA23" s="5" t="s">
        <v>1069</v>
      </c>
      <c r="HB23" s="4">
        <v>1.7199999999999998</v>
      </c>
      <c r="HC23">
        <v>0</v>
      </c>
      <c r="HD23">
        <v>30</v>
      </c>
      <c r="HE23" s="26" t="s">
        <v>1358</v>
      </c>
      <c r="HF23" s="5" t="s">
        <v>1063</v>
      </c>
      <c r="HG23" s="4">
        <v>0.19700000000000001</v>
      </c>
      <c r="HH23">
        <v>0</v>
      </c>
      <c r="HI23">
        <v>30</v>
      </c>
      <c r="HJ23" s="26" t="s">
        <v>1358</v>
      </c>
      <c r="HK23" t="s">
        <v>815</v>
      </c>
      <c r="HL23" s="34">
        <v>1.6246666666666667</v>
      </c>
      <c r="HM23">
        <v>0</v>
      </c>
      <c r="HN23">
        <v>30</v>
      </c>
      <c r="HO23" t="s">
        <v>1</v>
      </c>
      <c r="HP23" s="26" t="s">
        <v>1358</v>
      </c>
      <c r="HZ23" t="s">
        <v>1</v>
      </c>
      <c r="IA23" t="s">
        <v>1</v>
      </c>
      <c r="IB23" s="10" t="s">
        <v>1</v>
      </c>
      <c r="IC23" s="10"/>
      <c r="ID23" s="10"/>
      <c r="IE23" s="10" t="s">
        <v>1</v>
      </c>
      <c r="IF23" s="10" t="s">
        <v>1</v>
      </c>
      <c r="IG23" s="10"/>
      <c r="IH23" s="10"/>
      <c r="II23" s="10"/>
      <c r="IJ23" s="10"/>
      <c r="IK23" s="10"/>
      <c r="IL23" s="10"/>
      <c r="IM23" s="10"/>
      <c r="IN23" s="10"/>
      <c r="IO23" s="10"/>
      <c r="IP23" s="10"/>
      <c r="IQ23" s="10"/>
      <c r="IR23" s="10"/>
      <c r="IS23" t="s">
        <v>1</v>
      </c>
      <c r="IT23" t="s">
        <v>1</v>
      </c>
      <c r="IW23" t="s">
        <v>1</v>
      </c>
      <c r="IX23" t="s">
        <v>1</v>
      </c>
      <c r="IY23" t="s">
        <v>1</v>
      </c>
      <c r="IZ23" t="s">
        <v>1</v>
      </c>
      <c r="JA23" t="s">
        <v>1</v>
      </c>
      <c r="JB23" s="4" t="s">
        <v>1</v>
      </c>
      <c r="JC23" t="s">
        <v>1</v>
      </c>
      <c r="JD23" s="4" t="s">
        <v>1</v>
      </c>
      <c r="JE23" t="s">
        <v>810</v>
      </c>
      <c r="JF23">
        <v>100</v>
      </c>
      <c r="JR23" t="s">
        <v>1066</v>
      </c>
      <c r="JS23">
        <v>64</v>
      </c>
      <c r="JU23" t="s">
        <v>1</v>
      </c>
      <c r="JW23" t="s">
        <v>1</v>
      </c>
      <c r="JX23">
        <v>0</v>
      </c>
      <c r="JY23">
        <v>110.00000000000001</v>
      </c>
      <c r="JZ23" t="s">
        <v>796</v>
      </c>
      <c r="KA23" t="s">
        <v>16</v>
      </c>
      <c r="KB23" t="s">
        <v>738</v>
      </c>
      <c r="KC23" t="s">
        <v>1</v>
      </c>
      <c r="KD23" t="s">
        <v>1</v>
      </c>
      <c r="KE23" t="s">
        <v>1</v>
      </c>
      <c r="KF23" t="s">
        <v>1</v>
      </c>
      <c r="KG23" t="s">
        <v>1</v>
      </c>
      <c r="KH23" t="s">
        <v>1</v>
      </c>
      <c r="KI23" t="s">
        <v>1</v>
      </c>
      <c r="KJ23" t="s">
        <v>1</v>
      </c>
      <c r="KK23" t="s">
        <v>1</v>
      </c>
    </row>
    <row r="24" spans="1:297" x14ac:dyDescent="0.2">
      <c r="A24">
        <v>23</v>
      </c>
      <c r="B24" t="s">
        <v>705</v>
      </c>
      <c r="C24" t="s">
        <v>36</v>
      </c>
      <c r="D24" t="s">
        <v>34</v>
      </c>
      <c r="E24">
        <v>4</v>
      </c>
      <c r="F24" t="s">
        <v>1296</v>
      </c>
      <c r="G24" t="s">
        <v>1</v>
      </c>
      <c r="H24" s="26" t="s">
        <v>1420</v>
      </c>
      <c r="I24" t="s">
        <v>1</v>
      </c>
      <c r="J24" t="s">
        <v>1</v>
      </c>
      <c r="K24" t="s">
        <v>1</v>
      </c>
      <c r="L24" t="s">
        <v>1</v>
      </c>
      <c r="M24" t="s">
        <v>1</v>
      </c>
      <c r="N24" t="s">
        <v>1</v>
      </c>
      <c r="O24" t="s">
        <v>1</v>
      </c>
      <c r="P24" t="s">
        <v>1</v>
      </c>
      <c r="Q24" t="s">
        <v>1</v>
      </c>
      <c r="R24" t="s">
        <v>1</v>
      </c>
      <c r="S24" t="s">
        <v>1</v>
      </c>
      <c r="T24" t="s">
        <v>1</v>
      </c>
      <c r="U24" t="s">
        <v>1</v>
      </c>
      <c r="V24" t="s">
        <v>1</v>
      </c>
      <c r="W24" t="s">
        <v>1</v>
      </c>
      <c r="X24" t="s">
        <v>1</v>
      </c>
      <c r="Y24" t="s">
        <v>1</v>
      </c>
      <c r="Z24" t="s">
        <v>1</v>
      </c>
      <c r="AA24" t="s">
        <v>1</v>
      </c>
      <c r="AB24" t="s">
        <v>1</v>
      </c>
      <c r="AC24" t="s">
        <v>1</v>
      </c>
      <c r="AD24" t="s">
        <v>1</v>
      </c>
      <c r="AE24" t="s">
        <v>1</v>
      </c>
      <c r="AF24" t="s">
        <v>1</v>
      </c>
      <c r="AG24" t="s">
        <v>1</v>
      </c>
      <c r="AH24" t="s">
        <v>1</v>
      </c>
      <c r="AI24" t="s">
        <v>1</v>
      </c>
      <c r="AJ24" t="s">
        <v>1</v>
      </c>
      <c r="AK24" t="s">
        <v>1</v>
      </c>
      <c r="AL24" t="s">
        <v>1</v>
      </c>
      <c r="AM24" t="s">
        <v>1</v>
      </c>
      <c r="AN24">
        <v>23</v>
      </c>
      <c r="AO24">
        <f t="shared" si="2"/>
        <v>23</v>
      </c>
      <c r="AP24">
        <f t="shared" si="0"/>
        <v>4</v>
      </c>
      <c r="AQ24">
        <f t="shared" si="1"/>
        <v>4</v>
      </c>
      <c r="AR24" s="26" t="s">
        <v>1355</v>
      </c>
      <c r="AS24" s="26" t="s">
        <v>1356</v>
      </c>
      <c r="AT24" t="s">
        <v>706</v>
      </c>
      <c r="AU24" t="s">
        <v>1</v>
      </c>
      <c r="AV24" t="s">
        <v>1</v>
      </c>
      <c r="AW24">
        <v>-17.600000000000001</v>
      </c>
      <c r="AX24">
        <v>31.14</v>
      </c>
      <c r="AY24" t="s">
        <v>737</v>
      </c>
      <c r="BA24" s="3">
        <v>3</v>
      </c>
      <c r="BB24" s="3"/>
      <c r="BC24" s="3"/>
      <c r="BD24" s="3"/>
      <c r="BE24" s="3"/>
      <c r="BF24">
        <v>1999</v>
      </c>
      <c r="BG24" s="24" t="s">
        <v>733</v>
      </c>
      <c r="BH24" s="24" t="s">
        <v>733</v>
      </c>
      <c r="BI24" s="24" t="s">
        <v>733</v>
      </c>
      <c r="BJ24" s="24" t="s">
        <v>732</v>
      </c>
      <c r="BK24" s="24" t="s">
        <v>733</v>
      </c>
      <c r="BL24" s="25" t="s">
        <v>733</v>
      </c>
      <c r="BM24" s="24" t="s">
        <v>733</v>
      </c>
      <c r="BN24" s="24" t="s">
        <v>732</v>
      </c>
      <c r="BO24" s="24" t="s">
        <v>733</v>
      </c>
      <c r="BP24" s="24" t="s">
        <v>733</v>
      </c>
      <c r="BQ24" s="24" t="s">
        <v>945</v>
      </c>
      <c r="BR24" s="24" t="s">
        <v>945</v>
      </c>
      <c r="BS24" s="25" t="s">
        <v>934</v>
      </c>
      <c r="BT24" s="24" t="s">
        <v>934</v>
      </c>
      <c r="BU24" s="24" t="s">
        <v>934</v>
      </c>
      <c r="BV24" s="24" t="s">
        <v>934</v>
      </c>
      <c r="BW24" s="24" t="s">
        <v>934</v>
      </c>
      <c r="BX24" s="24" t="s">
        <v>934</v>
      </c>
      <c r="BY24" s="25" t="s">
        <v>945</v>
      </c>
      <c r="BZ24" t="s">
        <v>5</v>
      </c>
      <c r="CB24" t="s">
        <v>1</v>
      </c>
      <c r="CC24" s="4" t="s">
        <v>1</v>
      </c>
      <c r="CD24" s="4"/>
      <c r="CE24" s="4"/>
      <c r="CF24" t="s">
        <v>1</v>
      </c>
      <c r="CG24" t="s">
        <v>1</v>
      </c>
      <c r="CH24" t="s">
        <v>805</v>
      </c>
      <c r="CI24" s="28">
        <v>1.6</v>
      </c>
      <c r="CJ24" s="10" t="s">
        <v>1442</v>
      </c>
      <c r="CK24" s="9" t="s">
        <v>1</v>
      </c>
      <c r="CL24" s="4" t="s">
        <v>1</v>
      </c>
      <c r="CM24" t="s">
        <v>1024</v>
      </c>
      <c r="CN24" s="4">
        <f>AVERAGE(45.4,56.3,9.8)</f>
        <v>37.166666666666664</v>
      </c>
      <c r="CO24" s="4"/>
      <c r="CP24" s="4" t="s">
        <v>1</v>
      </c>
      <c r="CQ24" s="4" t="s">
        <v>1</v>
      </c>
      <c r="CR24" s="4" t="s">
        <v>1</v>
      </c>
      <c r="CS24" s="4" t="s">
        <v>1</v>
      </c>
      <c r="CT24" s="4" t="s">
        <v>1</v>
      </c>
      <c r="CU24" s="4" t="s">
        <v>1</v>
      </c>
      <c r="CV24" s="37" t="s">
        <v>853</v>
      </c>
      <c r="CW24">
        <v>100</v>
      </c>
      <c r="CX24">
        <v>0</v>
      </c>
      <c r="CY24">
        <v>30</v>
      </c>
      <c r="CZ24" s="26" t="s">
        <v>1358</v>
      </c>
      <c r="DA24" t="s">
        <v>734</v>
      </c>
      <c r="DB24">
        <v>91.3</v>
      </c>
      <c r="DC24">
        <v>0</v>
      </c>
      <c r="DD24">
        <v>30</v>
      </c>
      <c r="DE24" s="26" t="s">
        <v>1358</v>
      </c>
      <c r="DF24" t="s">
        <v>735</v>
      </c>
      <c r="DG24">
        <v>3</v>
      </c>
      <c r="DH24">
        <v>0</v>
      </c>
      <c r="DI24">
        <v>30</v>
      </c>
      <c r="DJ24" s="26" t="s">
        <v>1358</v>
      </c>
      <c r="DK24" t="s">
        <v>736</v>
      </c>
      <c r="DL24">
        <v>6.1</v>
      </c>
      <c r="DM24">
        <v>0</v>
      </c>
      <c r="DN24">
        <v>30</v>
      </c>
      <c r="DO24" s="26" t="s">
        <v>1358</v>
      </c>
      <c r="DP24" t="s">
        <v>6</v>
      </c>
      <c r="DQ24" t="s">
        <v>1</v>
      </c>
      <c r="DR24">
        <v>4.5999999999999996</v>
      </c>
      <c r="DS24">
        <v>0</v>
      </c>
      <c r="DT24">
        <v>30</v>
      </c>
      <c r="DU24" s="26" t="s">
        <v>1358</v>
      </c>
      <c r="EA24" t="s">
        <v>982</v>
      </c>
      <c r="EB24">
        <v>2.4</v>
      </c>
      <c r="EC24">
        <v>0</v>
      </c>
      <c r="ED24">
        <v>30</v>
      </c>
      <c r="EE24" s="26" t="s">
        <v>1358</v>
      </c>
      <c r="EF24" s="26"/>
      <c r="FZ24" t="s">
        <v>806</v>
      </c>
      <c r="GA24">
        <v>1207.333333</v>
      </c>
      <c r="GE24" s="26" t="s">
        <v>1358</v>
      </c>
      <c r="HA24" s="5" t="s">
        <v>1069</v>
      </c>
      <c r="HB24" s="4">
        <v>1.7199999999999998</v>
      </c>
      <c r="HC24">
        <v>0</v>
      </c>
      <c r="HD24">
        <v>30</v>
      </c>
      <c r="HE24" s="26" t="s">
        <v>1358</v>
      </c>
      <c r="HF24" s="5" t="s">
        <v>1063</v>
      </c>
      <c r="HG24" s="4">
        <v>0.19700000000000001</v>
      </c>
      <c r="HH24">
        <v>0</v>
      </c>
      <c r="HI24">
        <v>30</v>
      </c>
      <c r="HJ24" s="26" t="s">
        <v>1358</v>
      </c>
      <c r="HK24" t="s">
        <v>815</v>
      </c>
      <c r="HL24" s="34">
        <v>1.6246666666666667</v>
      </c>
      <c r="HM24">
        <v>0</v>
      </c>
      <c r="HN24">
        <v>30</v>
      </c>
      <c r="HO24" t="s">
        <v>1</v>
      </c>
      <c r="HP24" s="26" t="s">
        <v>1358</v>
      </c>
      <c r="HZ24" t="s">
        <v>966</v>
      </c>
      <c r="IA24">
        <v>60</v>
      </c>
      <c r="IB24" s="5" t="s">
        <v>1</v>
      </c>
      <c r="IC24" s="5"/>
      <c r="ID24" s="5"/>
      <c r="IE24" s="10" t="s">
        <v>1</v>
      </c>
      <c r="IF24" s="10" t="s">
        <v>1</v>
      </c>
      <c r="IG24" s="10"/>
      <c r="IH24" s="10"/>
      <c r="II24" s="10"/>
      <c r="IJ24" s="10"/>
      <c r="IK24" s="10"/>
      <c r="IL24" s="10"/>
      <c r="IM24" s="10"/>
      <c r="IN24" s="10"/>
      <c r="IO24" s="10"/>
      <c r="IP24" s="10"/>
      <c r="IQ24" s="10"/>
      <c r="IR24" s="10"/>
      <c r="IS24" t="s">
        <v>1</v>
      </c>
      <c r="IT24" t="s">
        <v>1</v>
      </c>
      <c r="IW24" t="s">
        <v>1</v>
      </c>
      <c r="IX24" t="s">
        <v>1</v>
      </c>
      <c r="IY24" t="s">
        <v>1</v>
      </c>
      <c r="IZ24" t="s">
        <v>1</v>
      </c>
      <c r="JA24" t="s">
        <v>1</v>
      </c>
      <c r="JB24" s="4" t="s">
        <v>1</v>
      </c>
      <c r="JC24" t="s">
        <v>1</v>
      </c>
      <c r="JD24" s="4" t="s">
        <v>1</v>
      </c>
      <c r="JE24" t="s">
        <v>810</v>
      </c>
      <c r="JF24">
        <v>100</v>
      </c>
      <c r="JR24" t="s">
        <v>1066</v>
      </c>
      <c r="JS24">
        <v>110.8</v>
      </c>
      <c r="JU24" t="s">
        <v>1</v>
      </c>
      <c r="JW24" t="s">
        <v>1</v>
      </c>
      <c r="JX24">
        <v>0</v>
      </c>
      <c r="JY24">
        <v>110.00000000000001</v>
      </c>
      <c r="JZ24" t="s">
        <v>796</v>
      </c>
      <c r="KA24" t="s">
        <v>16</v>
      </c>
      <c r="KB24" t="s">
        <v>738</v>
      </c>
      <c r="KC24" t="s">
        <v>1</v>
      </c>
      <c r="KD24" t="s">
        <v>1</v>
      </c>
      <c r="KE24" t="s">
        <v>1</v>
      </c>
      <c r="KF24" t="s">
        <v>1</v>
      </c>
      <c r="KG24" t="s">
        <v>1</v>
      </c>
      <c r="KH24" t="s">
        <v>1</v>
      </c>
      <c r="KI24" t="s">
        <v>1</v>
      </c>
      <c r="KJ24" t="s">
        <v>1</v>
      </c>
      <c r="KK24" t="s">
        <v>1</v>
      </c>
    </row>
    <row r="25" spans="1:297" x14ac:dyDescent="0.2">
      <c r="A25">
        <v>24</v>
      </c>
      <c r="B25" t="s">
        <v>705</v>
      </c>
      <c r="C25" t="s">
        <v>37</v>
      </c>
      <c r="D25" t="s">
        <v>34</v>
      </c>
      <c r="E25">
        <v>4</v>
      </c>
      <c r="F25" t="s">
        <v>1296</v>
      </c>
      <c r="G25" t="s">
        <v>1</v>
      </c>
      <c r="H25" s="26" t="s">
        <v>1420</v>
      </c>
      <c r="I25" t="s">
        <v>1</v>
      </c>
      <c r="J25" t="s">
        <v>1</v>
      </c>
      <c r="K25" t="s">
        <v>1</v>
      </c>
      <c r="L25" t="s">
        <v>1</v>
      </c>
      <c r="M25" t="s">
        <v>1</v>
      </c>
      <c r="N25" t="s">
        <v>1</v>
      </c>
      <c r="O25" t="s">
        <v>1</v>
      </c>
      <c r="P25" t="s">
        <v>1</v>
      </c>
      <c r="Q25" t="s">
        <v>1</v>
      </c>
      <c r="R25" t="s">
        <v>1</v>
      </c>
      <c r="S25" t="s">
        <v>1</v>
      </c>
      <c r="T25" t="s">
        <v>1</v>
      </c>
      <c r="U25" t="s">
        <v>1</v>
      </c>
      <c r="V25" t="s">
        <v>1</v>
      </c>
      <c r="W25" t="s">
        <v>1</v>
      </c>
      <c r="X25" t="s">
        <v>1</v>
      </c>
      <c r="Y25" t="s">
        <v>1</v>
      </c>
      <c r="Z25" t="s">
        <v>1</v>
      </c>
      <c r="AA25" t="s">
        <v>1</v>
      </c>
      <c r="AB25" t="s">
        <v>1</v>
      </c>
      <c r="AC25" t="s">
        <v>1</v>
      </c>
      <c r="AD25" t="s">
        <v>1</v>
      </c>
      <c r="AE25" t="s">
        <v>1</v>
      </c>
      <c r="AF25" t="s">
        <v>1</v>
      </c>
      <c r="AG25" t="s">
        <v>1</v>
      </c>
      <c r="AH25" t="s">
        <v>1</v>
      </c>
      <c r="AI25" t="s">
        <v>1</v>
      </c>
      <c r="AJ25" t="s">
        <v>1</v>
      </c>
      <c r="AK25" t="s">
        <v>1</v>
      </c>
      <c r="AL25" t="s">
        <v>1</v>
      </c>
      <c r="AM25" t="s">
        <v>1</v>
      </c>
      <c r="AN25">
        <v>24</v>
      </c>
      <c r="AO25">
        <f t="shared" si="2"/>
        <v>24</v>
      </c>
      <c r="AP25">
        <f t="shared" si="0"/>
        <v>4</v>
      </c>
      <c r="AQ25">
        <f t="shared" si="1"/>
        <v>4</v>
      </c>
      <c r="AR25" s="26" t="s">
        <v>1355</v>
      </c>
      <c r="AS25" s="26" t="s">
        <v>1356</v>
      </c>
      <c r="AT25" t="s">
        <v>706</v>
      </c>
      <c r="AU25" t="s">
        <v>1</v>
      </c>
      <c r="AV25" t="s">
        <v>1</v>
      </c>
      <c r="AW25">
        <v>-17.600000000000001</v>
      </c>
      <c r="AX25">
        <v>31.14</v>
      </c>
      <c r="AY25" t="s">
        <v>737</v>
      </c>
      <c r="BA25" s="3">
        <v>3</v>
      </c>
      <c r="BB25" s="3"/>
      <c r="BC25" s="3"/>
      <c r="BD25" s="3"/>
      <c r="BE25" s="3"/>
      <c r="BF25">
        <v>1999</v>
      </c>
      <c r="BG25" s="24" t="s">
        <v>733</v>
      </c>
      <c r="BH25" s="24" t="s">
        <v>733</v>
      </c>
      <c r="BI25" s="24" t="s">
        <v>733</v>
      </c>
      <c r="BJ25" s="24" t="s">
        <v>732</v>
      </c>
      <c r="BK25" s="24" t="s">
        <v>733</v>
      </c>
      <c r="BL25" s="25" t="s">
        <v>733</v>
      </c>
      <c r="BM25" s="24" t="s">
        <v>733</v>
      </c>
      <c r="BN25" s="24" t="s">
        <v>732</v>
      </c>
      <c r="BO25" s="24" t="s">
        <v>733</v>
      </c>
      <c r="BP25" s="24" t="s">
        <v>733</v>
      </c>
      <c r="BQ25" s="24" t="s">
        <v>945</v>
      </c>
      <c r="BR25" s="24" t="s">
        <v>945</v>
      </c>
      <c r="BS25" s="25" t="s">
        <v>934</v>
      </c>
      <c r="BT25" s="24" t="s">
        <v>934</v>
      </c>
      <c r="BU25" s="24" t="s">
        <v>934</v>
      </c>
      <c r="BV25" s="24" t="s">
        <v>934</v>
      </c>
      <c r="BW25" s="24" t="s">
        <v>934</v>
      </c>
      <c r="BX25" s="24" t="s">
        <v>934</v>
      </c>
      <c r="BY25" s="25" t="s">
        <v>945</v>
      </c>
      <c r="BZ25" t="s">
        <v>5</v>
      </c>
      <c r="CB25" t="s">
        <v>1</v>
      </c>
      <c r="CC25" s="4" t="s">
        <v>1</v>
      </c>
      <c r="CD25" s="4"/>
      <c r="CE25" s="4"/>
      <c r="CF25" t="s">
        <v>1</v>
      </c>
      <c r="CG25" t="s">
        <v>1</v>
      </c>
      <c r="CH25" t="s">
        <v>805</v>
      </c>
      <c r="CI25" s="28">
        <v>1.6</v>
      </c>
      <c r="CJ25" s="10" t="s">
        <v>1442</v>
      </c>
      <c r="CK25" s="9" t="s">
        <v>1</v>
      </c>
      <c r="CL25" s="4" t="s">
        <v>1</v>
      </c>
      <c r="CM25" t="s">
        <v>1024</v>
      </c>
      <c r="CN25" s="4">
        <f>AVERAGE(95.2,63.4,13.4)</f>
        <v>57.333333333333336</v>
      </c>
      <c r="CO25" s="4"/>
      <c r="CP25" s="4" t="s">
        <v>1</v>
      </c>
      <c r="CQ25" s="4" t="s">
        <v>1</v>
      </c>
      <c r="CR25" s="4" t="s">
        <v>1</v>
      </c>
      <c r="CS25" s="4" t="s">
        <v>1</v>
      </c>
      <c r="CT25" s="4" t="s">
        <v>1</v>
      </c>
      <c r="CU25" s="4" t="s">
        <v>1</v>
      </c>
      <c r="CV25" s="37" t="s">
        <v>853</v>
      </c>
      <c r="CW25">
        <v>100</v>
      </c>
      <c r="CX25">
        <v>0</v>
      </c>
      <c r="CY25">
        <v>30</v>
      </c>
      <c r="CZ25" s="26" t="s">
        <v>1358</v>
      </c>
      <c r="DA25" t="s">
        <v>734</v>
      </c>
      <c r="DB25">
        <v>91.3</v>
      </c>
      <c r="DC25">
        <v>0</v>
      </c>
      <c r="DD25">
        <v>30</v>
      </c>
      <c r="DE25" s="26" t="s">
        <v>1358</v>
      </c>
      <c r="DF25" t="s">
        <v>735</v>
      </c>
      <c r="DG25">
        <v>3</v>
      </c>
      <c r="DH25">
        <v>0</v>
      </c>
      <c r="DI25">
        <v>30</v>
      </c>
      <c r="DJ25" s="26" t="s">
        <v>1358</v>
      </c>
      <c r="DK25" t="s">
        <v>736</v>
      </c>
      <c r="DL25">
        <v>6.1</v>
      </c>
      <c r="DM25">
        <v>0</v>
      </c>
      <c r="DN25">
        <v>30</v>
      </c>
      <c r="DO25" s="26" t="s">
        <v>1358</v>
      </c>
      <c r="DP25" t="s">
        <v>6</v>
      </c>
      <c r="DQ25" t="s">
        <v>1</v>
      </c>
      <c r="DR25">
        <v>4.5999999999999996</v>
      </c>
      <c r="DS25">
        <v>0</v>
      </c>
      <c r="DT25">
        <v>30</v>
      </c>
      <c r="DU25" s="26" t="s">
        <v>1358</v>
      </c>
      <c r="EA25" t="s">
        <v>982</v>
      </c>
      <c r="EB25">
        <v>2.4</v>
      </c>
      <c r="EC25">
        <v>0</v>
      </c>
      <c r="ED25">
        <v>30</v>
      </c>
      <c r="EE25" s="26" t="s">
        <v>1358</v>
      </c>
      <c r="EF25" s="26"/>
      <c r="FZ25" t="s">
        <v>806</v>
      </c>
      <c r="GA25">
        <v>1207.333333</v>
      </c>
      <c r="GE25" s="26" t="s">
        <v>1358</v>
      </c>
      <c r="HA25" s="5" t="s">
        <v>1069</v>
      </c>
      <c r="HB25" s="4">
        <v>1.7199999999999998</v>
      </c>
      <c r="HC25">
        <v>0</v>
      </c>
      <c r="HD25">
        <v>30</v>
      </c>
      <c r="HE25" s="26" t="s">
        <v>1358</v>
      </c>
      <c r="HF25" s="5" t="s">
        <v>1063</v>
      </c>
      <c r="HG25" s="4">
        <v>0.19700000000000001</v>
      </c>
      <c r="HH25">
        <v>0</v>
      </c>
      <c r="HI25">
        <v>30</v>
      </c>
      <c r="HJ25" s="26" t="s">
        <v>1358</v>
      </c>
      <c r="HK25" t="s">
        <v>815</v>
      </c>
      <c r="HL25" s="34">
        <v>1.6246666666666667</v>
      </c>
      <c r="HM25">
        <v>0</v>
      </c>
      <c r="HN25">
        <v>30</v>
      </c>
      <c r="HO25" t="s">
        <v>1</v>
      </c>
      <c r="HP25" s="26" t="s">
        <v>1358</v>
      </c>
      <c r="HZ25" t="s">
        <v>966</v>
      </c>
      <c r="IA25">
        <v>120</v>
      </c>
      <c r="IB25" s="5" t="s">
        <v>1</v>
      </c>
      <c r="IC25" s="5"/>
      <c r="ID25" s="5"/>
      <c r="IE25" s="10" t="s">
        <v>1</v>
      </c>
      <c r="IF25" s="10" t="s">
        <v>1</v>
      </c>
      <c r="IG25" s="10"/>
      <c r="IH25" s="10"/>
      <c r="II25" s="10"/>
      <c r="IJ25" s="10"/>
      <c r="IK25" s="10"/>
      <c r="IL25" s="10"/>
      <c r="IM25" s="10"/>
      <c r="IN25" s="10"/>
      <c r="IO25" s="10"/>
      <c r="IP25" s="10"/>
      <c r="IQ25" s="10"/>
      <c r="IR25" s="10"/>
      <c r="IS25" t="s">
        <v>1</v>
      </c>
      <c r="IT25" t="s">
        <v>1</v>
      </c>
      <c r="IW25" t="s">
        <v>1</v>
      </c>
      <c r="IX25" t="s">
        <v>1</v>
      </c>
      <c r="IY25" t="s">
        <v>1</v>
      </c>
      <c r="IZ25" t="s">
        <v>1</v>
      </c>
      <c r="JA25" t="s">
        <v>1</v>
      </c>
      <c r="JB25" s="4" t="s">
        <v>1</v>
      </c>
      <c r="JC25" t="s">
        <v>1</v>
      </c>
      <c r="JD25" s="4" t="s">
        <v>1</v>
      </c>
      <c r="JE25" t="s">
        <v>810</v>
      </c>
      <c r="JF25">
        <v>100</v>
      </c>
      <c r="JR25" t="s">
        <v>1066</v>
      </c>
      <c r="JS25">
        <v>140.6</v>
      </c>
      <c r="JU25" t="s">
        <v>1</v>
      </c>
      <c r="JW25" t="s">
        <v>1</v>
      </c>
      <c r="JX25">
        <v>0</v>
      </c>
      <c r="JY25">
        <v>110.00000000000001</v>
      </c>
      <c r="JZ25" t="s">
        <v>796</v>
      </c>
      <c r="KA25" t="s">
        <v>16</v>
      </c>
      <c r="KB25" t="s">
        <v>738</v>
      </c>
      <c r="KC25" t="s">
        <v>1</v>
      </c>
      <c r="KD25" t="s">
        <v>1</v>
      </c>
      <c r="KE25" t="s">
        <v>1</v>
      </c>
      <c r="KF25" t="s">
        <v>1</v>
      </c>
      <c r="KG25" t="s">
        <v>1</v>
      </c>
      <c r="KH25" t="s">
        <v>1</v>
      </c>
      <c r="KI25" t="s">
        <v>1</v>
      </c>
      <c r="KJ25" t="s">
        <v>1</v>
      </c>
      <c r="KK25" t="s">
        <v>1</v>
      </c>
    </row>
    <row r="26" spans="1:297" x14ac:dyDescent="0.2">
      <c r="A26">
        <v>25</v>
      </c>
      <c r="B26" t="s">
        <v>705</v>
      </c>
      <c r="C26" t="s">
        <v>38</v>
      </c>
      <c r="D26" t="s">
        <v>34</v>
      </c>
      <c r="E26">
        <v>4</v>
      </c>
      <c r="F26" t="s">
        <v>1296</v>
      </c>
      <c r="G26" t="s">
        <v>1</v>
      </c>
      <c r="H26" s="26" t="s">
        <v>1420</v>
      </c>
      <c r="I26" t="s">
        <v>1</v>
      </c>
      <c r="J26" t="s">
        <v>1</v>
      </c>
      <c r="K26" t="s">
        <v>1</v>
      </c>
      <c r="L26" t="s">
        <v>1</v>
      </c>
      <c r="M26" t="s">
        <v>1</v>
      </c>
      <c r="N26" t="s">
        <v>1</v>
      </c>
      <c r="O26" t="s">
        <v>1</v>
      </c>
      <c r="P26" t="s">
        <v>1</v>
      </c>
      <c r="Q26" t="s">
        <v>1</v>
      </c>
      <c r="R26" t="s">
        <v>1</v>
      </c>
      <c r="S26" t="s">
        <v>1</v>
      </c>
      <c r="T26" t="s">
        <v>1</v>
      </c>
      <c r="U26" t="s">
        <v>1</v>
      </c>
      <c r="V26" t="s">
        <v>1</v>
      </c>
      <c r="W26" t="s">
        <v>1</v>
      </c>
      <c r="X26" t="s">
        <v>1</v>
      </c>
      <c r="Y26" t="s">
        <v>1</v>
      </c>
      <c r="Z26" t="s">
        <v>1</v>
      </c>
      <c r="AA26" t="s">
        <v>1</v>
      </c>
      <c r="AB26" t="s">
        <v>1</v>
      </c>
      <c r="AC26" t="s">
        <v>1</v>
      </c>
      <c r="AD26" t="s">
        <v>1</v>
      </c>
      <c r="AE26" t="s">
        <v>1</v>
      </c>
      <c r="AF26" t="s">
        <v>1</v>
      </c>
      <c r="AG26" t="s">
        <v>1</v>
      </c>
      <c r="AH26" t="s">
        <v>1</v>
      </c>
      <c r="AI26" t="s">
        <v>1</v>
      </c>
      <c r="AJ26" t="s">
        <v>1</v>
      </c>
      <c r="AK26" t="s">
        <v>1</v>
      </c>
      <c r="AL26" t="s">
        <v>1</v>
      </c>
      <c r="AM26" t="s">
        <v>1</v>
      </c>
      <c r="AN26">
        <v>25</v>
      </c>
      <c r="AO26">
        <f t="shared" si="2"/>
        <v>25</v>
      </c>
      <c r="AP26">
        <f t="shared" si="0"/>
        <v>4</v>
      </c>
      <c r="AQ26">
        <f t="shared" si="1"/>
        <v>4</v>
      </c>
      <c r="AR26" s="26" t="s">
        <v>1355</v>
      </c>
      <c r="AS26" s="26" t="s">
        <v>1356</v>
      </c>
      <c r="AT26" t="s">
        <v>706</v>
      </c>
      <c r="AU26" t="s">
        <v>1</v>
      </c>
      <c r="AV26" t="s">
        <v>1</v>
      </c>
      <c r="AW26">
        <v>-17.600000000000001</v>
      </c>
      <c r="AX26">
        <v>31.14</v>
      </c>
      <c r="AY26" t="s">
        <v>737</v>
      </c>
      <c r="BA26" s="3">
        <v>3</v>
      </c>
      <c r="BB26" s="3"/>
      <c r="BC26" s="3"/>
      <c r="BD26" s="3"/>
      <c r="BE26" s="3"/>
      <c r="BF26">
        <v>1999</v>
      </c>
      <c r="BG26" s="24" t="s">
        <v>733</v>
      </c>
      <c r="BH26" s="24" t="s">
        <v>733</v>
      </c>
      <c r="BI26" s="24" t="s">
        <v>733</v>
      </c>
      <c r="BJ26" s="24" t="s">
        <v>732</v>
      </c>
      <c r="BK26" s="24" t="s">
        <v>733</v>
      </c>
      <c r="BL26" s="25" t="s">
        <v>733</v>
      </c>
      <c r="BM26" s="24" t="s">
        <v>733</v>
      </c>
      <c r="BN26" s="24" t="s">
        <v>732</v>
      </c>
      <c r="BO26" s="24" t="s">
        <v>733</v>
      </c>
      <c r="BP26" s="24" t="s">
        <v>733</v>
      </c>
      <c r="BQ26" s="24" t="s">
        <v>945</v>
      </c>
      <c r="BR26" s="24" t="s">
        <v>945</v>
      </c>
      <c r="BS26" s="25" t="s">
        <v>934</v>
      </c>
      <c r="BT26" s="24" t="s">
        <v>934</v>
      </c>
      <c r="BU26" s="24" t="s">
        <v>934</v>
      </c>
      <c r="BV26" s="24" t="s">
        <v>934</v>
      </c>
      <c r="BW26" s="24" t="s">
        <v>934</v>
      </c>
      <c r="BX26" s="24" t="s">
        <v>934</v>
      </c>
      <c r="BY26" s="25" t="s">
        <v>945</v>
      </c>
      <c r="BZ26" t="s">
        <v>5</v>
      </c>
      <c r="CB26" t="s">
        <v>1</v>
      </c>
      <c r="CC26" s="4" t="s">
        <v>1</v>
      </c>
      <c r="CD26" s="4"/>
      <c r="CE26" s="4"/>
      <c r="CF26" t="s">
        <v>1</v>
      </c>
      <c r="CG26" t="s">
        <v>1</v>
      </c>
      <c r="CH26" t="s">
        <v>805</v>
      </c>
      <c r="CI26" s="28">
        <v>1.6</v>
      </c>
      <c r="CJ26" s="10" t="s">
        <v>1442</v>
      </c>
      <c r="CK26" s="9" t="s">
        <v>1</v>
      </c>
      <c r="CL26" s="4" t="s">
        <v>1</v>
      </c>
      <c r="CM26" t="s">
        <v>1024</v>
      </c>
      <c r="CN26" s="4">
        <f>AVERAGE(48.7,78.1,15.7)</f>
        <v>47.5</v>
      </c>
      <c r="CO26" s="4"/>
      <c r="CP26" s="4" t="s">
        <v>1</v>
      </c>
      <c r="CQ26" s="4" t="s">
        <v>1</v>
      </c>
      <c r="CR26" s="4" t="s">
        <v>1</v>
      </c>
      <c r="CS26" s="4" t="s">
        <v>1</v>
      </c>
      <c r="CT26" s="4" t="s">
        <v>1</v>
      </c>
      <c r="CU26" s="4" t="s">
        <v>1</v>
      </c>
      <c r="CV26" s="37" t="s">
        <v>853</v>
      </c>
      <c r="CW26">
        <v>100</v>
      </c>
      <c r="CX26">
        <v>0</v>
      </c>
      <c r="CY26">
        <v>30</v>
      </c>
      <c r="CZ26" s="26" t="s">
        <v>1358</v>
      </c>
      <c r="DA26" t="s">
        <v>734</v>
      </c>
      <c r="DB26">
        <v>91.3</v>
      </c>
      <c r="DC26">
        <v>0</v>
      </c>
      <c r="DD26">
        <v>30</v>
      </c>
      <c r="DE26" s="26" t="s">
        <v>1358</v>
      </c>
      <c r="DF26" t="s">
        <v>735</v>
      </c>
      <c r="DG26">
        <v>3</v>
      </c>
      <c r="DH26">
        <v>0</v>
      </c>
      <c r="DI26">
        <v>30</v>
      </c>
      <c r="DJ26" s="26" t="s">
        <v>1358</v>
      </c>
      <c r="DK26" t="s">
        <v>736</v>
      </c>
      <c r="DL26">
        <v>6.1</v>
      </c>
      <c r="DM26">
        <v>0</v>
      </c>
      <c r="DN26">
        <v>30</v>
      </c>
      <c r="DO26" s="26" t="s">
        <v>1358</v>
      </c>
      <c r="DP26" t="s">
        <v>6</v>
      </c>
      <c r="DQ26" t="s">
        <v>1</v>
      </c>
      <c r="DR26">
        <v>4.5999999999999996</v>
      </c>
      <c r="DS26">
        <v>0</v>
      </c>
      <c r="DT26">
        <v>30</v>
      </c>
      <c r="DU26" s="26" t="s">
        <v>1358</v>
      </c>
      <c r="EA26" t="s">
        <v>982</v>
      </c>
      <c r="EB26">
        <v>2.4</v>
      </c>
      <c r="EC26">
        <v>0</v>
      </c>
      <c r="ED26">
        <v>30</v>
      </c>
      <c r="EE26" s="26" t="s">
        <v>1358</v>
      </c>
      <c r="EF26" s="26"/>
      <c r="FZ26" t="s">
        <v>806</v>
      </c>
      <c r="GA26">
        <v>1207.333333</v>
      </c>
      <c r="GE26" s="26" t="s">
        <v>1358</v>
      </c>
      <c r="HA26" s="5" t="s">
        <v>1069</v>
      </c>
      <c r="HB26" s="4">
        <v>1.7199999999999998</v>
      </c>
      <c r="HC26">
        <v>0</v>
      </c>
      <c r="HD26">
        <v>30</v>
      </c>
      <c r="HE26" s="26" t="s">
        <v>1358</v>
      </c>
      <c r="HF26" s="5" t="s">
        <v>1063</v>
      </c>
      <c r="HG26" s="4">
        <v>0.19700000000000001</v>
      </c>
      <c r="HH26">
        <v>0</v>
      </c>
      <c r="HI26">
        <v>30</v>
      </c>
      <c r="HJ26" s="26" t="s">
        <v>1358</v>
      </c>
      <c r="HK26" t="s">
        <v>815</v>
      </c>
      <c r="HL26" s="34">
        <v>1.6246666666666667</v>
      </c>
      <c r="HM26">
        <v>0</v>
      </c>
      <c r="HN26">
        <v>30</v>
      </c>
      <c r="HO26" t="s">
        <v>1</v>
      </c>
      <c r="HP26" s="26" t="s">
        <v>1358</v>
      </c>
      <c r="HZ26" t="s">
        <v>1</v>
      </c>
      <c r="IA26" t="s">
        <v>1</v>
      </c>
      <c r="IB26" s="10" t="s">
        <v>1</v>
      </c>
      <c r="IC26" s="10"/>
      <c r="ID26" s="10"/>
      <c r="IE26" s="10" t="s">
        <v>1</v>
      </c>
      <c r="IF26" s="10" t="s">
        <v>1</v>
      </c>
      <c r="IG26" s="10"/>
      <c r="IH26" s="10"/>
      <c r="II26" s="10"/>
      <c r="IJ26" s="10"/>
      <c r="IK26" s="10"/>
      <c r="IL26" s="10"/>
      <c r="IM26" s="10"/>
      <c r="IN26" s="10"/>
      <c r="IO26" s="10"/>
      <c r="IP26" s="10"/>
      <c r="IQ26" s="10"/>
      <c r="IR26" s="10"/>
      <c r="IS26" t="s">
        <v>978</v>
      </c>
      <c r="IT26">
        <v>116</v>
      </c>
      <c r="IW26" t="s">
        <v>1</v>
      </c>
      <c r="IX26" t="s">
        <v>1</v>
      </c>
      <c r="IY26" t="s">
        <v>1</v>
      </c>
      <c r="IZ26" t="s">
        <v>1</v>
      </c>
      <c r="JA26" t="s">
        <v>1</v>
      </c>
      <c r="JB26" s="4" t="s">
        <v>1</v>
      </c>
      <c r="JC26" t="s">
        <v>1</v>
      </c>
      <c r="JD26" s="4" t="s">
        <v>1</v>
      </c>
      <c r="JE26" t="s">
        <v>810</v>
      </c>
      <c r="JF26">
        <v>100</v>
      </c>
      <c r="JR26" t="s">
        <v>1066</v>
      </c>
      <c r="JS26">
        <v>85.7</v>
      </c>
      <c r="JU26" t="s">
        <v>1</v>
      </c>
      <c r="JW26" t="s">
        <v>1</v>
      </c>
      <c r="JX26">
        <v>0</v>
      </c>
      <c r="JY26">
        <v>110.00000000000001</v>
      </c>
      <c r="JZ26" t="s">
        <v>796</v>
      </c>
      <c r="KA26" t="s">
        <v>16</v>
      </c>
      <c r="KB26" t="s">
        <v>738</v>
      </c>
      <c r="KC26" t="s">
        <v>1</v>
      </c>
      <c r="KD26" t="s">
        <v>1</v>
      </c>
      <c r="KE26" t="s">
        <v>1</v>
      </c>
      <c r="KF26" t="s">
        <v>1</v>
      </c>
      <c r="KG26" t="s">
        <v>1</v>
      </c>
      <c r="KH26" t="s">
        <v>1</v>
      </c>
      <c r="KI26" t="s">
        <v>1</v>
      </c>
      <c r="KJ26" t="s">
        <v>1</v>
      </c>
      <c r="KK26" t="s">
        <v>1</v>
      </c>
    </row>
    <row r="27" spans="1:297" x14ac:dyDescent="0.2">
      <c r="A27">
        <v>26</v>
      </c>
      <c r="B27" t="s">
        <v>705</v>
      </c>
      <c r="C27" t="s">
        <v>39</v>
      </c>
      <c r="D27" t="s">
        <v>34</v>
      </c>
      <c r="E27">
        <v>4</v>
      </c>
      <c r="F27" t="s">
        <v>1296</v>
      </c>
      <c r="G27" t="s">
        <v>1</v>
      </c>
      <c r="H27" s="26" t="s">
        <v>1420</v>
      </c>
      <c r="I27" t="s">
        <v>1</v>
      </c>
      <c r="J27" t="s">
        <v>1</v>
      </c>
      <c r="K27" t="s">
        <v>1</v>
      </c>
      <c r="L27" t="s">
        <v>1</v>
      </c>
      <c r="M27" t="s">
        <v>1</v>
      </c>
      <c r="N27" t="s">
        <v>1</v>
      </c>
      <c r="O27" t="s">
        <v>1</v>
      </c>
      <c r="P27" t="s">
        <v>1</v>
      </c>
      <c r="Q27" t="s">
        <v>1</v>
      </c>
      <c r="R27" t="s">
        <v>1</v>
      </c>
      <c r="S27" t="s">
        <v>1</v>
      </c>
      <c r="T27" t="s">
        <v>1</v>
      </c>
      <c r="U27" t="s">
        <v>1</v>
      </c>
      <c r="V27" t="s">
        <v>1</v>
      </c>
      <c r="W27" t="s">
        <v>1</v>
      </c>
      <c r="X27" t="s">
        <v>1</v>
      </c>
      <c r="Y27" t="s">
        <v>1</v>
      </c>
      <c r="Z27" t="s">
        <v>1</v>
      </c>
      <c r="AA27" t="s">
        <v>1</v>
      </c>
      <c r="AB27" t="s">
        <v>1</v>
      </c>
      <c r="AC27" t="s">
        <v>1</v>
      </c>
      <c r="AD27" t="s">
        <v>1</v>
      </c>
      <c r="AE27" t="s">
        <v>1</v>
      </c>
      <c r="AF27" t="s">
        <v>1</v>
      </c>
      <c r="AG27" t="s">
        <v>1</v>
      </c>
      <c r="AH27" t="s">
        <v>1</v>
      </c>
      <c r="AI27" t="s">
        <v>1</v>
      </c>
      <c r="AJ27" t="s">
        <v>1</v>
      </c>
      <c r="AK27" t="s">
        <v>1</v>
      </c>
      <c r="AL27" t="s">
        <v>1</v>
      </c>
      <c r="AM27" t="s">
        <v>1</v>
      </c>
      <c r="AN27">
        <v>26</v>
      </c>
      <c r="AO27">
        <f t="shared" si="2"/>
        <v>26</v>
      </c>
      <c r="AP27">
        <f t="shared" si="0"/>
        <v>4</v>
      </c>
      <c r="AQ27">
        <f t="shared" si="1"/>
        <v>4</v>
      </c>
      <c r="AR27" s="26" t="s">
        <v>1355</v>
      </c>
      <c r="AS27" s="26" t="s">
        <v>1356</v>
      </c>
      <c r="AT27" t="s">
        <v>706</v>
      </c>
      <c r="AU27" t="s">
        <v>1</v>
      </c>
      <c r="AV27" t="s">
        <v>1</v>
      </c>
      <c r="AW27">
        <v>-17.600000000000001</v>
      </c>
      <c r="AX27">
        <v>31.14</v>
      </c>
      <c r="AY27" t="s">
        <v>737</v>
      </c>
      <c r="BA27" s="3">
        <v>3</v>
      </c>
      <c r="BB27" s="3"/>
      <c r="BC27" s="3"/>
      <c r="BD27" s="3"/>
      <c r="BE27" s="3"/>
      <c r="BF27">
        <v>1999</v>
      </c>
      <c r="BG27" s="24" t="s">
        <v>733</v>
      </c>
      <c r="BH27" s="24" t="s">
        <v>733</v>
      </c>
      <c r="BI27" s="24" t="s">
        <v>733</v>
      </c>
      <c r="BJ27" s="24" t="s">
        <v>732</v>
      </c>
      <c r="BK27" s="24" t="s">
        <v>733</v>
      </c>
      <c r="BL27" s="25" t="s">
        <v>733</v>
      </c>
      <c r="BM27" s="24" t="s">
        <v>733</v>
      </c>
      <c r="BN27" s="24" t="s">
        <v>732</v>
      </c>
      <c r="BO27" s="24" t="s">
        <v>733</v>
      </c>
      <c r="BP27" s="24" t="s">
        <v>733</v>
      </c>
      <c r="BQ27" s="24" t="s">
        <v>945</v>
      </c>
      <c r="BR27" s="24" t="s">
        <v>945</v>
      </c>
      <c r="BS27" s="25" t="s">
        <v>934</v>
      </c>
      <c r="BT27" s="24" t="s">
        <v>934</v>
      </c>
      <c r="BU27" s="24" t="s">
        <v>934</v>
      </c>
      <c r="BV27" s="24" t="s">
        <v>934</v>
      </c>
      <c r="BW27" s="24" t="s">
        <v>934</v>
      </c>
      <c r="BX27" s="24" t="s">
        <v>934</v>
      </c>
      <c r="BY27" s="25" t="s">
        <v>945</v>
      </c>
      <c r="BZ27" t="s">
        <v>5</v>
      </c>
      <c r="CB27" t="s">
        <v>1</v>
      </c>
      <c r="CC27" s="4" t="s">
        <v>1</v>
      </c>
      <c r="CD27" s="4"/>
      <c r="CE27" s="4"/>
      <c r="CF27" t="s">
        <v>1</v>
      </c>
      <c r="CG27" t="s">
        <v>1</v>
      </c>
      <c r="CH27" t="s">
        <v>805</v>
      </c>
      <c r="CI27" s="28">
        <v>1.6</v>
      </c>
      <c r="CJ27" s="10" t="s">
        <v>1442</v>
      </c>
      <c r="CK27" s="9" t="s">
        <v>1</v>
      </c>
      <c r="CL27" s="4" t="s">
        <v>1</v>
      </c>
      <c r="CM27" t="s">
        <v>1024</v>
      </c>
      <c r="CN27" s="4">
        <f>AVERAGE(77.9,105,21)</f>
        <v>67.966666666666669</v>
      </c>
      <c r="CO27" s="4"/>
      <c r="CP27" s="4" t="s">
        <v>1</v>
      </c>
      <c r="CQ27" s="4" t="s">
        <v>1</v>
      </c>
      <c r="CR27" s="4" t="s">
        <v>1</v>
      </c>
      <c r="CS27" s="4" t="s">
        <v>1</v>
      </c>
      <c r="CT27" s="4" t="s">
        <v>1</v>
      </c>
      <c r="CU27" s="4" t="s">
        <v>1</v>
      </c>
      <c r="CV27" s="37" t="s">
        <v>853</v>
      </c>
      <c r="CW27">
        <v>100</v>
      </c>
      <c r="CX27">
        <v>0</v>
      </c>
      <c r="CY27">
        <v>30</v>
      </c>
      <c r="CZ27" s="26" t="s">
        <v>1358</v>
      </c>
      <c r="DA27" t="s">
        <v>734</v>
      </c>
      <c r="DB27">
        <v>91.3</v>
      </c>
      <c r="DC27">
        <v>0</v>
      </c>
      <c r="DD27">
        <v>30</v>
      </c>
      <c r="DE27" s="26" t="s">
        <v>1358</v>
      </c>
      <c r="DF27" t="s">
        <v>735</v>
      </c>
      <c r="DG27">
        <v>3</v>
      </c>
      <c r="DH27">
        <v>0</v>
      </c>
      <c r="DI27">
        <v>30</v>
      </c>
      <c r="DJ27" s="26" t="s">
        <v>1358</v>
      </c>
      <c r="DK27" t="s">
        <v>736</v>
      </c>
      <c r="DL27">
        <v>6.1</v>
      </c>
      <c r="DM27">
        <v>0</v>
      </c>
      <c r="DN27">
        <v>30</v>
      </c>
      <c r="DO27" s="26" t="s">
        <v>1358</v>
      </c>
      <c r="DP27" t="s">
        <v>6</v>
      </c>
      <c r="DQ27" t="s">
        <v>1</v>
      </c>
      <c r="DR27">
        <v>4.5999999999999996</v>
      </c>
      <c r="DS27">
        <v>0</v>
      </c>
      <c r="DT27">
        <v>30</v>
      </c>
      <c r="DU27" s="26" t="s">
        <v>1358</v>
      </c>
      <c r="EA27" t="s">
        <v>982</v>
      </c>
      <c r="EB27">
        <v>2.4</v>
      </c>
      <c r="EC27">
        <v>0</v>
      </c>
      <c r="ED27">
        <v>30</v>
      </c>
      <c r="EE27" s="26" t="s">
        <v>1358</v>
      </c>
      <c r="EF27" s="26"/>
      <c r="FZ27" t="s">
        <v>806</v>
      </c>
      <c r="GA27">
        <v>1207.333333</v>
      </c>
      <c r="GE27" s="26" t="s">
        <v>1358</v>
      </c>
      <c r="HA27" s="5" t="s">
        <v>1069</v>
      </c>
      <c r="HB27" s="4">
        <v>1.7199999999999998</v>
      </c>
      <c r="HC27">
        <v>0</v>
      </c>
      <c r="HD27">
        <v>30</v>
      </c>
      <c r="HE27" s="26" t="s">
        <v>1358</v>
      </c>
      <c r="HF27" s="5" t="s">
        <v>1063</v>
      </c>
      <c r="HG27" s="4">
        <v>0.19700000000000001</v>
      </c>
      <c r="HH27">
        <v>0</v>
      </c>
      <c r="HI27">
        <v>30</v>
      </c>
      <c r="HJ27" s="26" t="s">
        <v>1358</v>
      </c>
      <c r="HK27" t="s">
        <v>815</v>
      </c>
      <c r="HL27" s="34">
        <v>1.6246666666666667</v>
      </c>
      <c r="HM27">
        <v>0</v>
      </c>
      <c r="HN27">
        <v>30</v>
      </c>
      <c r="HO27" t="s">
        <v>1</v>
      </c>
      <c r="HP27" s="26" t="s">
        <v>1358</v>
      </c>
      <c r="HZ27" t="s">
        <v>966</v>
      </c>
      <c r="IA27">
        <v>60</v>
      </c>
      <c r="IB27" s="5" t="s">
        <v>1</v>
      </c>
      <c r="IC27" s="5"/>
      <c r="ID27" s="5"/>
      <c r="IE27" s="10" t="s">
        <v>1</v>
      </c>
      <c r="IF27" s="10" t="s">
        <v>1</v>
      </c>
      <c r="IG27" s="10"/>
      <c r="IH27" s="10"/>
      <c r="II27" s="10"/>
      <c r="IJ27" s="10"/>
      <c r="IK27" s="10"/>
      <c r="IL27" s="10"/>
      <c r="IM27" s="10"/>
      <c r="IN27" s="10"/>
      <c r="IO27" s="10"/>
      <c r="IP27" s="10"/>
      <c r="IQ27" s="10"/>
      <c r="IR27" s="10"/>
      <c r="IS27" t="s">
        <v>978</v>
      </c>
      <c r="IT27">
        <v>116</v>
      </c>
      <c r="IW27" t="s">
        <v>1</v>
      </c>
      <c r="IX27" t="s">
        <v>1</v>
      </c>
      <c r="IY27" t="s">
        <v>1</v>
      </c>
      <c r="IZ27" t="s">
        <v>1</v>
      </c>
      <c r="JA27" t="s">
        <v>1</v>
      </c>
      <c r="JB27" s="4" t="s">
        <v>1</v>
      </c>
      <c r="JC27" t="s">
        <v>1</v>
      </c>
      <c r="JD27" s="4" t="s">
        <v>1</v>
      </c>
      <c r="JE27" t="s">
        <v>810</v>
      </c>
      <c r="JF27">
        <v>100</v>
      </c>
      <c r="JR27" t="s">
        <v>1066</v>
      </c>
      <c r="JS27">
        <v>128.19999999999999</v>
      </c>
      <c r="JU27" t="s">
        <v>1</v>
      </c>
      <c r="JW27" t="s">
        <v>1</v>
      </c>
      <c r="JX27">
        <v>0</v>
      </c>
      <c r="JY27">
        <v>110.00000000000001</v>
      </c>
      <c r="JZ27" t="s">
        <v>796</v>
      </c>
      <c r="KA27" t="s">
        <v>16</v>
      </c>
      <c r="KB27" t="s">
        <v>738</v>
      </c>
      <c r="KC27" t="s">
        <v>1</v>
      </c>
      <c r="KD27" t="s">
        <v>1</v>
      </c>
      <c r="KE27" t="s">
        <v>1</v>
      </c>
      <c r="KF27" t="s">
        <v>1</v>
      </c>
      <c r="KG27" t="s">
        <v>1</v>
      </c>
      <c r="KH27" t="s">
        <v>1</v>
      </c>
      <c r="KI27" t="s">
        <v>1</v>
      </c>
      <c r="KJ27" t="s">
        <v>1</v>
      </c>
      <c r="KK27" t="s">
        <v>1</v>
      </c>
    </row>
    <row r="28" spans="1:297" x14ac:dyDescent="0.2">
      <c r="A28">
        <v>27</v>
      </c>
      <c r="B28" t="s">
        <v>705</v>
      </c>
      <c r="C28" t="s">
        <v>40</v>
      </c>
      <c r="D28" t="s">
        <v>34</v>
      </c>
      <c r="E28">
        <v>4</v>
      </c>
      <c r="F28" t="s">
        <v>1296</v>
      </c>
      <c r="G28" t="s">
        <v>1</v>
      </c>
      <c r="H28" s="26" t="s">
        <v>1420</v>
      </c>
      <c r="I28" t="s">
        <v>1</v>
      </c>
      <c r="J28" t="s">
        <v>1</v>
      </c>
      <c r="K28" t="s">
        <v>1</v>
      </c>
      <c r="L28" t="s">
        <v>1</v>
      </c>
      <c r="M28" t="s">
        <v>1</v>
      </c>
      <c r="N28" t="s">
        <v>1</v>
      </c>
      <c r="O28" t="s">
        <v>1</v>
      </c>
      <c r="P28" t="s">
        <v>1</v>
      </c>
      <c r="Q28" t="s">
        <v>1</v>
      </c>
      <c r="R28" t="s">
        <v>1</v>
      </c>
      <c r="S28" t="s">
        <v>1</v>
      </c>
      <c r="T28" t="s">
        <v>1</v>
      </c>
      <c r="U28" t="s">
        <v>1</v>
      </c>
      <c r="V28" t="s">
        <v>1</v>
      </c>
      <c r="W28" t="s">
        <v>1</v>
      </c>
      <c r="X28" t="s">
        <v>1</v>
      </c>
      <c r="Y28" t="s">
        <v>1</v>
      </c>
      <c r="Z28" t="s">
        <v>1</v>
      </c>
      <c r="AA28" t="s">
        <v>1</v>
      </c>
      <c r="AB28" t="s">
        <v>1</v>
      </c>
      <c r="AC28" t="s">
        <v>1</v>
      </c>
      <c r="AD28" t="s">
        <v>1</v>
      </c>
      <c r="AE28" t="s">
        <v>1</v>
      </c>
      <c r="AF28" t="s">
        <v>1</v>
      </c>
      <c r="AG28" t="s">
        <v>1</v>
      </c>
      <c r="AH28" t="s">
        <v>1</v>
      </c>
      <c r="AI28" t="s">
        <v>1</v>
      </c>
      <c r="AJ28" t="s">
        <v>1</v>
      </c>
      <c r="AK28" t="s">
        <v>1</v>
      </c>
      <c r="AL28" t="s">
        <v>1</v>
      </c>
      <c r="AM28" t="s">
        <v>1</v>
      </c>
      <c r="AN28">
        <v>27</v>
      </c>
      <c r="AO28">
        <f t="shared" si="2"/>
        <v>27</v>
      </c>
      <c r="AP28">
        <f t="shared" si="0"/>
        <v>4</v>
      </c>
      <c r="AQ28">
        <f t="shared" si="1"/>
        <v>4</v>
      </c>
      <c r="AR28" s="26" t="s">
        <v>1355</v>
      </c>
      <c r="AS28" s="26" t="s">
        <v>1356</v>
      </c>
      <c r="AT28" t="s">
        <v>706</v>
      </c>
      <c r="AU28" t="s">
        <v>1</v>
      </c>
      <c r="AV28" t="s">
        <v>1</v>
      </c>
      <c r="AW28">
        <v>-17.600000000000001</v>
      </c>
      <c r="AX28">
        <v>31.14</v>
      </c>
      <c r="AY28" t="s">
        <v>737</v>
      </c>
      <c r="BA28" s="3">
        <v>3</v>
      </c>
      <c r="BB28" s="3"/>
      <c r="BC28" s="3"/>
      <c r="BD28" s="3"/>
      <c r="BE28" s="3"/>
      <c r="BF28">
        <v>1999</v>
      </c>
      <c r="BG28" s="24" t="s">
        <v>733</v>
      </c>
      <c r="BH28" s="24" t="s">
        <v>733</v>
      </c>
      <c r="BI28" s="24" t="s">
        <v>733</v>
      </c>
      <c r="BJ28" s="24" t="s">
        <v>732</v>
      </c>
      <c r="BK28" s="24" t="s">
        <v>733</v>
      </c>
      <c r="BL28" s="25" t="s">
        <v>733</v>
      </c>
      <c r="BM28" s="24" t="s">
        <v>733</v>
      </c>
      <c r="BN28" s="24" t="s">
        <v>732</v>
      </c>
      <c r="BO28" s="24" t="s">
        <v>733</v>
      </c>
      <c r="BP28" s="24" t="s">
        <v>733</v>
      </c>
      <c r="BQ28" s="24" t="s">
        <v>945</v>
      </c>
      <c r="BR28" s="24" t="s">
        <v>945</v>
      </c>
      <c r="BS28" s="25" t="s">
        <v>934</v>
      </c>
      <c r="BT28" s="24" t="s">
        <v>934</v>
      </c>
      <c r="BU28" s="24" t="s">
        <v>934</v>
      </c>
      <c r="BV28" s="24" t="s">
        <v>934</v>
      </c>
      <c r="BW28" s="24" t="s">
        <v>934</v>
      </c>
      <c r="BX28" s="24" t="s">
        <v>934</v>
      </c>
      <c r="BY28" s="25" t="s">
        <v>945</v>
      </c>
      <c r="BZ28" t="s">
        <v>5</v>
      </c>
      <c r="CB28" t="s">
        <v>1</v>
      </c>
      <c r="CC28" s="4" t="s">
        <v>1</v>
      </c>
      <c r="CD28" s="4"/>
      <c r="CE28" s="4"/>
      <c r="CF28" t="s">
        <v>1</v>
      </c>
      <c r="CG28" t="s">
        <v>1</v>
      </c>
      <c r="CH28" t="s">
        <v>805</v>
      </c>
      <c r="CI28" s="28">
        <v>1.6</v>
      </c>
      <c r="CJ28" s="10" t="s">
        <v>1442</v>
      </c>
      <c r="CK28" s="9" t="s">
        <v>1</v>
      </c>
      <c r="CL28" s="4" t="s">
        <v>1</v>
      </c>
      <c r="CM28" t="s">
        <v>1024</v>
      </c>
      <c r="CN28" s="4">
        <f>AVERAGE(153.6,133.6,27)</f>
        <v>104.73333333333333</v>
      </c>
      <c r="CO28" s="4"/>
      <c r="CP28" s="4" t="s">
        <v>1</v>
      </c>
      <c r="CQ28" s="4" t="s">
        <v>1</v>
      </c>
      <c r="CR28" s="4" t="s">
        <v>1</v>
      </c>
      <c r="CS28" s="4" t="s">
        <v>1</v>
      </c>
      <c r="CT28" s="4" t="s">
        <v>1</v>
      </c>
      <c r="CU28" s="4" t="s">
        <v>1</v>
      </c>
      <c r="CV28" s="37" t="s">
        <v>853</v>
      </c>
      <c r="CW28">
        <v>100</v>
      </c>
      <c r="CX28">
        <v>0</v>
      </c>
      <c r="CY28">
        <v>30</v>
      </c>
      <c r="CZ28" s="26" t="s">
        <v>1358</v>
      </c>
      <c r="DA28" t="s">
        <v>734</v>
      </c>
      <c r="DB28">
        <v>91.3</v>
      </c>
      <c r="DC28">
        <v>0</v>
      </c>
      <c r="DD28">
        <v>30</v>
      </c>
      <c r="DE28" s="26" t="s">
        <v>1358</v>
      </c>
      <c r="DF28" t="s">
        <v>735</v>
      </c>
      <c r="DG28">
        <v>3</v>
      </c>
      <c r="DH28">
        <v>0</v>
      </c>
      <c r="DI28">
        <v>30</v>
      </c>
      <c r="DJ28" s="26" t="s">
        <v>1358</v>
      </c>
      <c r="DK28" t="s">
        <v>736</v>
      </c>
      <c r="DL28">
        <v>6.1</v>
      </c>
      <c r="DM28">
        <v>0</v>
      </c>
      <c r="DN28">
        <v>30</v>
      </c>
      <c r="DO28" s="26" t="s">
        <v>1358</v>
      </c>
      <c r="DP28" t="s">
        <v>6</v>
      </c>
      <c r="DQ28" t="s">
        <v>1</v>
      </c>
      <c r="DR28">
        <v>4.5999999999999996</v>
      </c>
      <c r="DS28">
        <v>0</v>
      </c>
      <c r="DT28">
        <v>30</v>
      </c>
      <c r="DU28" s="26" t="s">
        <v>1358</v>
      </c>
      <c r="EA28" t="s">
        <v>982</v>
      </c>
      <c r="EB28">
        <v>2.4</v>
      </c>
      <c r="EC28">
        <v>0</v>
      </c>
      <c r="ED28">
        <v>30</v>
      </c>
      <c r="EE28" s="26" t="s">
        <v>1358</v>
      </c>
      <c r="EF28" s="26"/>
      <c r="FZ28" t="s">
        <v>806</v>
      </c>
      <c r="GA28">
        <v>1207.333333</v>
      </c>
      <c r="GE28" s="26" t="s">
        <v>1358</v>
      </c>
      <c r="HA28" s="5" t="s">
        <v>1069</v>
      </c>
      <c r="HB28" s="4">
        <v>1.7199999999999998</v>
      </c>
      <c r="HC28">
        <v>0</v>
      </c>
      <c r="HD28">
        <v>30</v>
      </c>
      <c r="HE28" s="26" t="s">
        <v>1358</v>
      </c>
      <c r="HF28" s="5" t="s">
        <v>1063</v>
      </c>
      <c r="HG28" s="4">
        <v>0.19700000000000001</v>
      </c>
      <c r="HH28">
        <v>0</v>
      </c>
      <c r="HI28">
        <v>30</v>
      </c>
      <c r="HJ28" s="26" t="s">
        <v>1358</v>
      </c>
      <c r="HK28" t="s">
        <v>815</v>
      </c>
      <c r="HL28" s="34">
        <v>1.6246666666666667</v>
      </c>
      <c r="HM28">
        <v>0</v>
      </c>
      <c r="HN28">
        <v>30</v>
      </c>
      <c r="HO28" t="s">
        <v>1</v>
      </c>
      <c r="HP28" s="26" t="s">
        <v>1358</v>
      </c>
      <c r="HZ28" t="s">
        <v>966</v>
      </c>
      <c r="IA28">
        <v>120</v>
      </c>
      <c r="IB28" s="5" t="s">
        <v>1</v>
      </c>
      <c r="IC28" s="5"/>
      <c r="ID28" s="5"/>
      <c r="IE28" s="10" t="s">
        <v>1</v>
      </c>
      <c r="IF28" s="10" t="s">
        <v>1</v>
      </c>
      <c r="IG28" s="10"/>
      <c r="IH28" s="10"/>
      <c r="II28" s="10"/>
      <c r="IJ28" s="10"/>
      <c r="IK28" s="10"/>
      <c r="IL28" s="10"/>
      <c r="IM28" s="10"/>
      <c r="IN28" s="10"/>
      <c r="IO28" s="10"/>
      <c r="IP28" s="10"/>
      <c r="IQ28" s="10"/>
      <c r="IR28" s="10"/>
      <c r="IS28" t="s">
        <v>978</v>
      </c>
      <c r="IT28">
        <v>116</v>
      </c>
      <c r="IW28" t="s">
        <v>1</v>
      </c>
      <c r="IX28" t="s">
        <v>1</v>
      </c>
      <c r="IY28" t="s">
        <v>1</v>
      </c>
      <c r="IZ28" t="s">
        <v>1</v>
      </c>
      <c r="JA28" t="s">
        <v>1</v>
      </c>
      <c r="JB28" s="4" t="s">
        <v>1</v>
      </c>
      <c r="JC28" t="s">
        <v>1</v>
      </c>
      <c r="JD28" s="4" t="s">
        <v>1</v>
      </c>
      <c r="JE28" t="s">
        <v>810</v>
      </c>
      <c r="JF28">
        <v>100</v>
      </c>
      <c r="JR28" t="s">
        <v>1066</v>
      </c>
      <c r="JS28">
        <v>145.6</v>
      </c>
      <c r="JU28" t="s">
        <v>1</v>
      </c>
      <c r="JW28" t="s">
        <v>1</v>
      </c>
      <c r="JX28">
        <v>0</v>
      </c>
      <c r="JY28">
        <v>110.00000000000001</v>
      </c>
      <c r="JZ28" t="s">
        <v>796</v>
      </c>
      <c r="KA28" t="s">
        <v>16</v>
      </c>
      <c r="KB28" t="s">
        <v>738</v>
      </c>
      <c r="KC28" t="s">
        <v>1</v>
      </c>
      <c r="KD28" t="s">
        <v>1</v>
      </c>
      <c r="KE28" t="s">
        <v>1</v>
      </c>
      <c r="KF28" t="s">
        <v>1</v>
      </c>
      <c r="KG28" t="s">
        <v>1</v>
      </c>
      <c r="KH28" t="s">
        <v>1</v>
      </c>
      <c r="KI28" t="s">
        <v>1</v>
      </c>
      <c r="KJ28" t="s">
        <v>1</v>
      </c>
      <c r="KK28" t="s">
        <v>1</v>
      </c>
    </row>
    <row r="29" spans="1:297" x14ac:dyDescent="0.2">
      <c r="A29">
        <v>28</v>
      </c>
      <c r="B29" t="s">
        <v>705</v>
      </c>
      <c r="C29" t="s">
        <v>41</v>
      </c>
      <c r="D29" t="s">
        <v>34</v>
      </c>
      <c r="E29">
        <v>4</v>
      </c>
      <c r="F29" t="s">
        <v>1296</v>
      </c>
      <c r="G29" t="s">
        <v>1</v>
      </c>
      <c r="H29" s="26" t="s">
        <v>1420</v>
      </c>
      <c r="I29" t="s">
        <v>1</v>
      </c>
      <c r="J29" t="s">
        <v>1</v>
      </c>
      <c r="K29" t="s">
        <v>1</v>
      </c>
      <c r="L29" t="s">
        <v>1</v>
      </c>
      <c r="M29" t="s">
        <v>1</v>
      </c>
      <c r="N29" t="s">
        <v>1</v>
      </c>
      <c r="O29" t="s">
        <v>1</v>
      </c>
      <c r="P29" t="s">
        <v>1</v>
      </c>
      <c r="Q29" t="s">
        <v>1</v>
      </c>
      <c r="R29" t="s">
        <v>1</v>
      </c>
      <c r="S29" t="s">
        <v>1</v>
      </c>
      <c r="T29" t="s">
        <v>1</v>
      </c>
      <c r="U29" t="s">
        <v>1</v>
      </c>
      <c r="V29" t="s">
        <v>1</v>
      </c>
      <c r="W29" t="s">
        <v>1</v>
      </c>
      <c r="X29" t="s">
        <v>1</v>
      </c>
      <c r="Y29" t="s">
        <v>1</v>
      </c>
      <c r="Z29" t="s">
        <v>1</v>
      </c>
      <c r="AA29" t="s">
        <v>1</v>
      </c>
      <c r="AB29" t="s">
        <v>1</v>
      </c>
      <c r="AC29" t="s">
        <v>1</v>
      </c>
      <c r="AD29" t="s">
        <v>1</v>
      </c>
      <c r="AE29" t="s">
        <v>1</v>
      </c>
      <c r="AF29" t="s">
        <v>1</v>
      </c>
      <c r="AG29" t="s">
        <v>1</v>
      </c>
      <c r="AH29" t="s">
        <v>1</v>
      </c>
      <c r="AI29" t="s">
        <v>1</v>
      </c>
      <c r="AJ29" t="s">
        <v>1</v>
      </c>
      <c r="AK29" t="s">
        <v>1</v>
      </c>
      <c r="AL29" t="s">
        <v>1</v>
      </c>
      <c r="AM29" t="s">
        <v>1</v>
      </c>
      <c r="AN29">
        <v>28</v>
      </c>
      <c r="AO29">
        <f t="shared" si="2"/>
        <v>28</v>
      </c>
      <c r="AP29">
        <f t="shared" si="0"/>
        <v>4</v>
      </c>
      <c r="AQ29">
        <f t="shared" si="1"/>
        <v>4</v>
      </c>
      <c r="AR29" s="26" t="s">
        <v>1355</v>
      </c>
      <c r="AS29" s="26" t="s">
        <v>1356</v>
      </c>
      <c r="AT29" t="s">
        <v>706</v>
      </c>
      <c r="AU29" t="s">
        <v>1</v>
      </c>
      <c r="AV29" t="s">
        <v>1</v>
      </c>
      <c r="AW29">
        <v>-17.600000000000001</v>
      </c>
      <c r="AX29">
        <v>31.14</v>
      </c>
      <c r="AY29" t="s">
        <v>737</v>
      </c>
      <c r="BA29" s="3">
        <v>3</v>
      </c>
      <c r="BB29" s="3"/>
      <c r="BC29" s="3"/>
      <c r="BD29" s="3"/>
      <c r="BE29" s="3"/>
      <c r="BF29">
        <v>1999</v>
      </c>
      <c r="BG29" s="24" t="s">
        <v>733</v>
      </c>
      <c r="BH29" s="24" t="s">
        <v>733</v>
      </c>
      <c r="BI29" s="24" t="s">
        <v>733</v>
      </c>
      <c r="BJ29" s="24" t="s">
        <v>732</v>
      </c>
      <c r="BK29" s="24" t="s">
        <v>733</v>
      </c>
      <c r="BL29" s="25" t="s">
        <v>733</v>
      </c>
      <c r="BM29" s="24" t="s">
        <v>733</v>
      </c>
      <c r="BN29" s="24" t="s">
        <v>732</v>
      </c>
      <c r="BO29" s="24" t="s">
        <v>733</v>
      </c>
      <c r="BP29" s="24" t="s">
        <v>733</v>
      </c>
      <c r="BQ29" s="24" t="s">
        <v>945</v>
      </c>
      <c r="BR29" s="24" t="s">
        <v>945</v>
      </c>
      <c r="BS29" s="25" t="s">
        <v>934</v>
      </c>
      <c r="BT29" s="24" t="s">
        <v>934</v>
      </c>
      <c r="BU29" s="24" t="s">
        <v>934</v>
      </c>
      <c r="BV29" s="24" t="s">
        <v>934</v>
      </c>
      <c r="BW29" s="24" t="s">
        <v>934</v>
      </c>
      <c r="BX29" s="24" t="s">
        <v>934</v>
      </c>
      <c r="BY29" s="25" t="s">
        <v>945</v>
      </c>
      <c r="BZ29" t="s">
        <v>5</v>
      </c>
      <c r="CB29" t="s">
        <v>1</v>
      </c>
      <c r="CC29" s="4" t="s">
        <v>1</v>
      </c>
      <c r="CD29" s="4"/>
      <c r="CE29" s="4"/>
      <c r="CF29" t="s">
        <v>1</v>
      </c>
      <c r="CG29" t="s">
        <v>1</v>
      </c>
      <c r="CH29" t="s">
        <v>805</v>
      </c>
      <c r="CI29" s="28">
        <v>1.6</v>
      </c>
      <c r="CJ29" s="10" t="s">
        <v>1442</v>
      </c>
      <c r="CK29" s="9" t="s">
        <v>1</v>
      </c>
      <c r="CL29" s="4" t="s">
        <v>1</v>
      </c>
      <c r="CM29" t="s">
        <v>1024</v>
      </c>
      <c r="CN29" s="4">
        <f>AVERAGE(70.8,96.6,18.5)</f>
        <v>61.966666666666661</v>
      </c>
      <c r="CO29" s="4"/>
      <c r="CP29" s="4" t="s">
        <v>1</v>
      </c>
      <c r="CQ29" s="4" t="s">
        <v>1</v>
      </c>
      <c r="CR29" s="4" t="s">
        <v>1</v>
      </c>
      <c r="CS29" s="4" t="s">
        <v>1</v>
      </c>
      <c r="CT29" s="4" t="s">
        <v>1</v>
      </c>
      <c r="CU29" s="4" t="s">
        <v>1</v>
      </c>
      <c r="CV29" s="37" t="s">
        <v>853</v>
      </c>
      <c r="CW29">
        <v>100</v>
      </c>
      <c r="CX29">
        <v>0</v>
      </c>
      <c r="CY29">
        <v>30</v>
      </c>
      <c r="CZ29" s="26" t="s">
        <v>1358</v>
      </c>
      <c r="DA29" t="s">
        <v>734</v>
      </c>
      <c r="DB29">
        <v>91.3</v>
      </c>
      <c r="DC29">
        <v>0</v>
      </c>
      <c r="DD29">
        <v>30</v>
      </c>
      <c r="DE29" s="26" t="s">
        <v>1358</v>
      </c>
      <c r="DF29" t="s">
        <v>735</v>
      </c>
      <c r="DG29">
        <v>3</v>
      </c>
      <c r="DH29">
        <v>0</v>
      </c>
      <c r="DI29">
        <v>30</v>
      </c>
      <c r="DJ29" s="26" t="s">
        <v>1358</v>
      </c>
      <c r="DK29" t="s">
        <v>736</v>
      </c>
      <c r="DL29">
        <v>6.1</v>
      </c>
      <c r="DM29">
        <v>0</v>
      </c>
      <c r="DN29">
        <v>30</v>
      </c>
      <c r="DO29" s="26" t="s">
        <v>1358</v>
      </c>
      <c r="DP29" t="s">
        <v>6</v>
      </c>
      <c r="DQ29" t="s">
        <v>1</v>
      </c>
      <c r="DR29">
        <v>4.5999999999999996</v>
      </c>
      <c r="DS29">
        <v>0</v>
      </c>
      <c r="DT29">
        <v>30</v>
      </c>
      <c r="DU29" s="26" t="s">
        <v>1358</v>
      </c>
      <c r="EA29" t="s">
        <v>982</v>
      </c>
      <c r="EB29">
        <v>2.4</v>
      </c>
      <c r="EC29">
        <v>0</v>
      </c>
      <c r="ED29">
        <v>30</v>
      </c>
      <c r="EE29" s="26" t="s">
        <v>1358</v>
      </c>
      <c r="EF29" s="26"/>
      <c r="FZ29" t="s">
        <v>806</v>
      </c>
      <c r="GA29">
        <v>1207.333333</v>
      </c>
      <c r="GE29" s="26" t="s">
        <v>1358</v>
      </c>
      <c r="HA29" s="5" t="s">
        <v>1069</v>
      </c>
      <c r="HB29" s="4">
        <v>1.7199999999999998</v>
      </c>
      <c r="HC29">
        <v>0</v>
      </c>
      <c r="HD29">
        <v>30</v>
      </c>
      <c r="HE29" s="26" t="s">
        <v>1358</v>
      </c>
      <c r="HF29" s="5" t="s">
        <v>1063</v>
      </c>
      <c r="HG29" s="4">
        <v>0.19700000000000001</v>
      </c>
      <c r="HH29">
        <v>0</v>
      </c>
      <c r="HI29">
        <v>30</v>
      </c>
      <c r="HJ29" s="26" t="s">
        <v>1358</v>
      </c>
      <c r="HK29" t="s">
        <v>815</v>
      </c>
      <c r="HL29" s="34">
        <v>1.6246666666666667</v>
      </c>
      <c r="HM29">
        <v>0</v>
      </c>
      <c r="HN29">
        <v>30</v>
      </c>
      <c r="HO29" t="s">
        <v>1</v>
      </c>
      <c r="HP29" s="26" t="s">
        <v>1358</v>
      </c>
      <c r="HZ29" t="s">
        <v>1</v>
      </c>
      <c r="IA29" t="s">
        <v>1</v>
      </c>
      <c r="IB29" s="10" t="s">
        <v>1</v>
      </c>
      <c r="IC29" s="10"/>
      <c r="ID29" s="10"/>
      <c r="IE29" s="10" t="s">
        <v>1</v>
      </c>
      <c r="IF29" s="10" t="s">
        <v>1</v>
      </c>
      <c r="IG29" s="10"/>
      <c r="IH29" s="10"/>
      <c r="II29" s="10"/>
      <c r="IJ29" s="10"/>
      <c r="IK29" s="10"/>
      <c r="IL29" s="10"/>
      <c r="IM29" s="10"/>
      <c r="IN29" s="10"/>
      <c r="IO29" s="10"/>
      <c r="IP29" s="10"/>
      <c r="IQ29" s="10"/>
      <c r="IR29" s="10"/>
      <c r="IS29" t="s">
        <v>978</v>
      </c>
      <c r="IT29">
        <v>348</v>
      </c>
      <c r="IW29" t="s">
        <v>1</v>
      </c>
      <c r="IX29" t="s">
        <v>1</v>
      </c>
      <c r="IY29" t="s">
        <v>1</v>
      </c>
      <c r="IZ29" t="s">
        <v>1</v>
      </c>
      <c r="JA29" t="s">
        <v>1</v>
      </c>
      <c r="JB29" s="4" t="s">
        <v>1</v>
      </c>
      <c r="JC29" t="s">
        <v>1</v>
      </c>
      <c r="JD29" s="4" t="s">
        <v>1</v>
      </c>
      <c r="JE29" t="s">
        <v>810</v>
      </c>
      <c r="JF29">
        <v>100</v>
      </c>
      <c r="JR29" t="s">
        <v>1066</v>
      </c>
      <c r="JS29">
        <v>94.7</v>
      </c>
      <c r="JU29" t="s">
        <v>1</v>
      </c>
      <c r="JW29" t="s">
        <v>1</v>
      </c>
      <c r="JX29">
        <v>0</v>
      </c>
      <c r="JY29">
        <v>110.00000000000001</v>
      </c>
      <c r="JZ29" t="s">
        <v>796</v>
      </c>
      <c r="KA29" t="s">
        <v>16</v>
      </c>
      <c r="KB29" t="s">
        <v>738</v>
      </c>
      <c r="KC29" t="s">
        <v>1</v>
      </c>
      <c r="KD29" t="s">
        <v>1</v>
      </c>
      <c r="KE29" t="s">
        <v>1</v>
      </c>
      <c r="KF29" t="s">
        <v>1</v>
      </c>
      <c r="KG29" t="s">
        <v>1</v>
      </c>
      <c r="KH29" t="s">
        <v>1</v>
      </c>
      <c r="KI29" t="s">
        <v>1</v>
      </c>
      <c r="KJ29" t="s">
        <v>1</v>
      </c>
      <c r="KK29" t="s">
        <v>1</v>
      </c>
    </row>
    <row r="30" spans="1:297" x14ac:dyDescent="0.2">
      <c r="A30">
        <v>29</v>
      </c>
      <c r="B30" t="s">
        <v>705</v>
      </c>
      <c r="C30" t="s">
        <v>42</v>
      </c>
      <c r="D30" t="s">
        <v>34</v>
      </c>
      <c r="E30">
        <v>4</v>
      </c>
      <c r="F30" t="s">
        <v>1296</v>
      </c>
      <c r="G30" t="s">
        <v>1</v>
      </c>
      <c r="H30" s="26" t="s">
        <v>1420</v>
      </c>
      <c r="I30" t="s">
        <v>1</v>
      </c>
      <c r="J30" t="s">
        <v>1</v>
      </c>
      <c r="K30" t="s">
        <v>1</v>
      </c>
      <c r="L30" t="s">
        <v>1</v>
      </c>
      <c r="M30" t="s">
        <v>1</v>
      </c>
      <c r="N30" t="s">
        <v>1</v>
      </c>
      <c r="O30" t="s">
        <v>1</v>
      </c>
      <c r="P30" t="s">
        <v>1</v>
      </c>
      <c r="Q30" t="s">
        <v>1</v>
      </c>
      <c r="R30" t="s">
        <v>1</v>
      </c>
      <c r="S30" t="s">
        <v>1</v>
      </c>
      <c r="T30" t="s">
        <v>1</v>
      </c>
      <c r="U30" t="s">
        <v>1</v>
      </c>
      <c r="V30" t="s">
        <v>1</v>
      </c>
      <c r="W30" t="s">
        <v>1</v>
      </c>
      <c r="X30" t="s">
        <v>1</v>
      </c>
      <c r="Y30" t="s">
        <v>1</v>
      </c>
      <c r="Z30" t="s">
        <v>1</v>
      </c>
      <c r="AA30" t="s">
        <v>1</v>
      </c>
      <c r="AB30" t="s">
        <v>1</v>
      </c>
      <c r="AC30" t="s">
        <v>1</v>
      </c>
      <c r="AD30" t="s">
        <v>1</v>
      </c>
      <c r="AE30" t="s">
        <v>1</v>
      </c>
      <c r="AF30" t="s">
        <v>1</v>
      </c>
      <c r="AG30" t="s">
        <v>1</v>
      </c>
      <c r="AH30" t="s">
        <v>1</v>
      </c>
      <c r="AI30" t="s">
        <v>1</v>
      </c>
      <c r="AJ30" t="s">
        <v>1</v>
      </c>
      <c r="AK30" t="s">
        <v>1</v>
      </c>
      <c r="AL30" t="s">
        <v>1</v>
      </c>
      <c r="AM30" t="s">
        <v>1</v>
      </c>
      <c r="AN30">
        <v>29</v>
      </c>
      <c r="AO30">
        <f t="shared" si="2"/>
        <v>29</v>
      </c>
      <c r="AP30">
        <f t="shared" si="0"/>
        <v>4</v>
      </c>
      <c r="AQ30">
        <f t="shared" si="1"/>
        <v>4</v>
      </c>
      <c r="AR30" s="26" t="s">
        <v>1355</v>
      </c>
      <c r="AS30" s="26" t="s">
        <v>1356</v>
      </c>
      <c r="AT30" t="s">
        <v>706</v>
      </c>
      <c r="AU30" t="s">
        <v>1</v>
      </c>
      <c r="AV30" t="s">
        <v>1</v>
      </c>
      <c r="AW30">
        <v>-17.600000000000001</v>
      </c>
      <c r="AX30">
        <v>31.14</v>
      </c>
      <c r="AY30" t="s">
        <v>737</v>
      </c>
      <c r="BA30" s="3">
        <v>3</v>
      </c>
      <c r="BB30" s="3"/>
      <c r="BC30" s="3"/>
      <c r="BD30" s="3"/>
      <c r="BE30" s="3"/>
      <c r="BF30">
        <v>1999</v>
      </c>
      <c r="BG30" s="24" t="s">
        <v>733</v>
      </c>
      <c r="BH30" s="24" t="s">
        <v>733</v>
      </c>
      <c r="BI30" s="24" t="s">
        <v>733</v>
      </c>
      <c r="BJ30" s="24" t="s">
        <v>732</v>
      </c>
      <c r="BK30" s="24" t="s">
        <v>733</v>
      </c>
      <c r="BL30" s="25" t="s">
        <v>733</v>
      </c>
      <c r="BM30" s="24" t="s">
        <v>733</v>
      </c>
      <c r="BN30" s="24" t="s">
        <v>732</v>
      </c>
      <c r="BO30" s="24" t="s">
        <v>733</v>
      </c>
      <c r="BP30" s="24" t="s">
        <v>733</v>
      </c>
      <c r="BQ30" s="24" t="s">
        <v>945</v>
      </c>
      <c r="BR30" s="24" t="s">
        <v>945</v>
      </c>
      <c r="BS30" s="25" t="s">
        <v>934</v>
      </c>
      <c r="BT30" s="24" t="s">
        <v>934</v>
      </c>
      <c r="BU30" s="24" t="s">
        <v>934</v>
      </c>
      <c r="BV30" s="24" t="s">
        <v>934</v>
      </c>
      <c r="BW30" s="24" t="s">
        <v>934</v>
      </c>
      <c r="BX30" s="24" t="s">
        <v>934</v>
      </c>
      <c r="BY30" s="25" t="s">
        <v>945</v>
      </c>
      <c r="BZ30" t="s">
        <v>5</v>
      </c>
      <c r="CB30" t="s">
        <v>1</v>
      </c>
      <c r="CC30" s="4" t="s">
        <v>1</v>
      </c>
      <c r="CD30" s="4"/>
      <c r="CE30" s="4"/>
      <c r="CF30" t="s">
        <v>1</v>
      </c>
      <c r="CG30" t="s">
        <v>1</v>
      </c>
      <c r="CH30" t="s">
        <v>805</v>
      </c>
      <c r="CI30" s="28">
        <v>1.6</v>
      </c>
      <c r="CJ30" s="10" t="s">
        <v>1442</v>
      </c>
      <c r="CK30" s="9" t="s">
        <v>1</v>
      </c>
      <c r="CL30" s="4" t="s">
        <v>1</v>
      </c>
      <c r="CM30" t="s">
        <v>1024</v>
      </c>
      <c r="CN30" s="4">
        <f>AVERAGE(90.2,116,22.5)</f>
        <v>76.233333333333334</v>
      </c>
      <c r="CO30" s="4"/>
      <c r="CP30" s="4" t="s">
        <v>1</v>
      </c>
      <c r="CQ30" s="4" t="s">
        <v>1</v>
      </c>
      <c r="CR30" s="4" t="s">
        <v>1</v>
      </c>
      <c r="CS30" s="4" t="s">
        <v>1</v>
      </c>
      <c r="CT30" s="4" t="s">
        <v>1</v>
      </c>
      <c r="CU30" s="4" t="s">
        <v>1</v>
      </c>
      <c r="CV30" s="37" t="s">
        <v>853</v>
      </c>
      <c r="CW30">
        <v>100</v>
      </c>
      <c r="CX30">
        <v>0</v>
      </c>
      <c r="CY30">
        <v>30</v>
      </c>
      <c r="CZ30" s="26" t="s">
        <v>1358</v>
      </c>
      <c r="DA30" t="s">
        <v>734</v>
      </c>
      <c r="DB30">
        <v>91.3</v>
      </c>
      <c r="DC30">
        <v>0</v>
      </c>
      <c r="DD30">
        <v>30</v>
      </c>
      <c r="DE30" s="26" t="s">
        <v>1358</v>
      </c>
      <c r="DF30" t="s">
        <v>735</v>
      </c>
      <c r="DG30">
        <v>3</v>
      </c>
      <c r="DH30">
        <v>0</v>
      </c>
      <c r="DI30">
        <v>30</v>
      </c>
      <c r="DJ30" s="26" t="s">
        <v>1358</v>
      </c>
      <c r="DK30" t="s">
        <v>736</v>
      </c>
      <c r="DL30">
        <v>6.1</v>
      </c>
      <c r="DM30">
        <v>0</v>
      </c>
      <c r="DN30">
        <v>30</v>
      </c>
      <c r="DO30" s="26" t="s">
        <v>1358</v>
      </c>
      <c r="DP30" t="s">
        <v>6</v>
      </c>
      <c r="DQ30" t="s">
        <v>1</v>
      </c>
      <c r="DR30">
        <v>4.5999999999999996</v>
      </c>
      <c r="DS30">
        <v>0</v>
      </c>
      <c r="DT30">
        <v>30</v>
      </c>
      <c r="DU30" s="26" t="s">
        <v>1358</v>
      </c>
      <c r="EA30" t="s">
        <v>982</v>
      </c>
      <c r="EB30">
        <v>2.4</v>
      </c>
      <c r="EC30">
        <v>0</v>
      </c>
      <c r="ED30">
        <v>30</v>
      </c>
      <c r="EE30" s="26" t="s">
        <v>1358</v>
      </c>
      <c r="EF30" s="26"/>
      <c r="FZ30" t="s">
        <v>806</v>
      </c>
      <c r="GA30">
        <v>1207.333333</v>
      </c>
      <c r="GE30" s="26" t="s">
        <v>1358</v>
      </c>
      <c r="HA30" s="5" t="s">
        <v>1069</v>
      </c>
      <c r="HB30" s="4">
        <v>1.7199999999999998</v>
      </c>
      <c r="HC30">
        <v>0</v>
      </c>
      <c r="HD30">
        <v>30</v>
      </c>
      <c r="HE30" s="26" t="s">
        <v>1358</v>
      </c>
      <c r="HF30" s="5" t="s">
        <v>1063</v>
      </c>
      <c r="HG30" s="4">
        <v>0.19700000000000001</v>
      </c>
      <c r="HH30">
        <v>0</v>
      </c>
      <c r="HI30">
        <v>30</v>
      </c>
      <c r="HJ30" s="26" t="s">
        <v>1358</v>
      </c>
      <c r="HK30" t="s">
        <v>815</v>
      </c>
      <c r="HL30" s="34">
        <v>1.6246666666666667</v>
      </c>
      <c r="HM30">
        <v>0</v>
      </c>
      <c r="HN30">
        <v>30</v>
      </c>
      <c r="HO30" t="s">
        <v>1</v>
      </c>
      <c r="HP30" s="26" t="s">
        <v>1358</v>
      </c>
      <c r="HZ30" t="s">
        <v>966</v>
      </c>
      <c r="IA30">
        <v>60</v>
      </c>
      <c r="IB30" s="5" t="s">
        <v>1</v>
      </c>
      <c r="IC30" s="5"/>
      <c r="ID30" s="5"/>
      <c r="IE30" s="10" t="s">
        <v>1</v>
      </c>
      <c r="IF30" s="10" t="s">
        <v>1</v>
      </c>
      <c r="IG30" s="10"/>
      <c r="IH30" s="10"/>
      <c r="II30" s="10"/>
      <c r="IJ30" s="10"/>
      <c r="IK30" s="10"/>
      <c r="IL30" s="10"/>
      <c r="IM30" s="10"/>
      <c r="IN30" s="10"/>
      <c r="IO30" s="10"/>
      <c r="IP30" s="10"/>
      <c r="IQ30" s="10"/>
      <c r="IR30" s="10"/>
      <c r="IS30" t="s">
        <v>978</v>
      </c>
      <c r="IT30">
        <v>348</v>
      </c>
      <c r="IW30" t="s">
        <v>1</v>
      </c>
      <c r="IX30" t="s">
        <v>1</v>
      </c>
      <c r="IY30" t="s">
        <v>1</v>
      </c>
      <c r="IZ30" t="s">
        <v>1</v>
      </c>
      <c r="JA30" t="s">
        <v>1</v>
      </c>
      <c r="JB30" s="4" t="s">
        <v>1</v>
      </c>
      <c r="JC30" t="s">
        <v>1</v>
      </c>
      <c r="JD30" s="4" t="s">
        <v>1</v>
      </c>
      <c r="JE30" t="s">
        <v>810</v>
      </c>
      <c r="JF30">
        <v>100</v>
      </c>
      <c r="JR30" t="s">
        <v>1066</v>
      </c>
      <c r="JS30">
        <v>138.69999999999999</v>
      </c>
      <c r="JU30" t="s">
        <v>1</v>
      </c>
      <c r="JW30" t="s">
        <v>1</v>
      </c>
      <c r="JX30">
        <v>0</v>
      </c>
      <c r="JY30">
        <v>110.00000000000001</v>
      </c>
      <c r="JZ30" t="s">
        <v>796</v>
      </c>
      <c r="KA30" t="s">
        <v>16</v>
      </c>
      <c r="KB30" t="s">
        <v>738</v>
      </c>
      <c r="KC30" t="s">
        <v>1</v>
      </c>
      <c r="KD30" t="s">
        <v>1</v>
      </c>
      <c r="KE30" t="s">
        <v>1</v>
      </c>
      <c r="KF30" t="s">
        <v>1</v>
      </c>
      <c r="KG30" t="s">
        <v>1</v>
      </c>
      <c r="KH30" t="s">
        <v>1</v>
      </c>
      <c r="KI30" t="s">
        <v>1</v>
      </c>
      <c r="KJ30" t="s">
        <v>1</v>
      </c>
      <c r="KK30" t="s">
        <v>1</v>
      </c>
    </row>
    <row r="31" spans="1:297" x14ac:dyDescent="0.2">
      <c r="A31">
        <v>30</v>
      </c>
      <c r="B31" t="s">
        <v>705</v>
      </c>
      <c r="C31" t="s">
        <v>43</v>
      </c>
      <c r="D31" t="s">
        <v>34</v>
      </c>
      <c r="E31">
        <v>4</v>
      </c>
      <c r="F31" t="s">
        <v>1296</v>
      </c>
      <c r="G31" t="s">
        <v>1</v>
      </c>
      <c r="H31" s="26" t="s">
        <v>1420</v>
      </c>
      <c r="I31" t="s">
        <v>1</v>
      </c>
      <c r="J31" t="s">
        <v>1</v>
      </c>
      <c r="K31" t="s">
        <v>1</v>
      </c>
      <c r="L31" t="s">
        <v>1</v>
      </c>
      <c r="M31" t="s">
        <v>1</v>
      </c>
      <c r="N31" t="s">
        <v>1</v>
      </c>
      <c r="O31" t="s">
        <v>1</v>
      </c>
      <c r="P31" t="s">
        <v>1</v>
      </c>
      <c r="Q31" t="s">
        <v>1</v>
      </c>
      <c r="R31" t="s">
        <v>1</v>
      </c>
      <c r="S31" t="s">
        <v>1</v>
      </c>
      <c r="T31" t="s">
        <v>1</v>
      </c>
      <c r="U31" t="s">
        <v>1</v>
      </c>
      <c r="V31" t="s">
        <v>1</v>
      </c>
      <c r="W31" t="s">
        <v>1</v>
      </c>
      <c r="X31" t="s">
        <v>1</v>
      </c>
      <c r="Y31" t="s">
        <v>1</v>
      </c>
      <c r="Z31" t="s">
        <v>1</v>
      </c>
      <c r="AA31" t="s">
        <v>1</v>
      </c>
      <c r="AB31" t="s">
        <v>1</v>
      </c>
      <c r="AC31" t="s">
        <v>1</v>
      </c>
      <c r="AD31" t="s">
        <v>1</v>
      </c>
      <c r="AE31" t="s">
        <v>1</v>
      </c>
      <c r="AF31" t="s">
        <v>1</v>
      </c>
      <c r="AG31" t="s">
        <v>1</v>
      </c>
      <c r="AH31" t="s">
        <v>1</v>
      </c>
      <c r="AI31" t="s">
        <v>1</v>
      </c>
      <c r="AJ31" t="s">
        <v>1</v>
      </c>
      <c r="AK31" t="s">
        <v>1</v>
      </c>
      <c r="AL31" t="s">
        <v>1</v>
      </c>
      <c r="AM31" t="s">
        <v>1</v>
      </c>
      <c r="AN31">
        <v>30</v>
      </c>
      <c r="AO31">
        <f t="shared" si="2"/>
        <v>30</v>
      </c>
      <c r="AP31">
        <f t="shared" si="0"/>
        <v>4</v>
      </c>
      <c r="AQ31">
        <f t="shared" si="1"/>
        <v>4</v>
      </c>
      <c r="AR31" s="26" t="s">
        <v>1355</v>
      </c>
      <c r="AS31" s="26" t="s">
        <v>1356</v>
      </c>
      <c r="AT31" t="s">
        <v>706</v>
      </c>
      <c r="AU31" t="s">
        <v>1</v>
      </c>
      <c r="AV31" t="s">
        <v>1</v>
      </c>
      <c r="AW31">
        <v>-17.600000000000001</v>
      </c>
      <c r="AX31">
        <v>31.14</v>
      </c>
      <c r="AY31" t="s">
        <v>737</v>
      </c>
      <c r="BA31" s="3">
        <v>3</v>
      </c>
      <c r="BB31" s="3"/>
      <c r="BC31" s="3"/>
      <c r="BD31" s="3"/>
      <c r="BE31" s="3"/>
      <c r="BF31">
        <v>1999</v>
      </c>
      <c r="BG31" s="24" t="s">
        <v>733</v>
      </c>
      <c r="BH31" s="24" t="s">
        <v>733</v>
      </c>
      <c r="BI31" s="24" t="s">
        <v>733</v>
      </c>
      <c r="BJ31" s="24" t="s">
        <v>732</v>
      </c>
      <c r="BK31" s="24" t="s">
        <v>733</v>
      </c>
      <c r="BL31" s="25" t="s">
        <v>733</v>
      </c>
      <c r="BM31" s="24" t="s">
        <v>733</v>
      </c>
      <c r="BN31" s="24" t="s">
        <v>732</v>
      </c>
      <c r="BO31" s="24" t="s">
        <v>733</v>
      </c>
      <c r="BP31" s="24" t="s">
        <v>733</v>
      </c>
      <c r="BQ31" s="24" t="s">
        <v>945</v>
      </c>
      <c r="BR31" s="24" t="s">
        <v>945</v>
      </c>
      <c r="BS31" s="25" t="s">
        <v>934</v>
      </c>
      <c r="BT31" s="24" t="s">
        <v>934</v>
      </c>
      <c r="BU31" s="24" t="s">
        <v>934</v>
      </c>
      <c r="BV31" s="24" t="s">
        <v>934</v>
      </c>
      <c r="BW31" s="24" t="s">
        <v>934</v>
      </c>
      <c r="BX31" s="24" t="s">
        <v>934</v>
      </c>
      <c r="BY31" s="25" t="s">
        <v>945</v>
      </c>
      <c r="BZ31" t="s">
        <v>5</v>
      </c>
      <c r="CB31" t="s">
        <v>1</v>
      </c>
      <c r="CC31" s="4" t="s">
        <v>1</v>
      </c>
      <c r="CD31" s="4"/>
      <c r="CE31" s="4"/>
      <c r="CF31" t="s">
        <v>1</v>
      </c>
      <c r="CG31" t="s">
        <v>1</v>
      </c>
      <c r="CH31" t="s">
        <v>805</v>
      </c>
      <c r="CI31" s="28">
        <v>1.6</v>
      </c>
      <c r="CJ31" s="10" t="s">
        <v>1442</v>
      </c>
      <c r="CK31" s="9" t="s">
        <v>1</v>
      </c>
      <c r="CL31" s="4" t="s">
        <v>1</v>
      </c>
      <c r="CM31" t="s">
        <v>1024</v>
      </c>
      <c r="CN31" s="4">
        <f>AVERAGE(189.1,144.7,28.9)</f>
        <v>120.89999999999998</v>
      </c>
      <c r="CO31" s="4"/>
      <c r="CP31" s="4" t="s">
        <v>1</v>
      </c>
      <c r="CQ31" s="4" t="s">
        <v>1</v>
      </c>
      <c r="CR31" s="4" t="s">
        <v>1</v>
      </c>
      <c r="CS31" s="4" t="s">
        <v>1</v>
      </c>
      <c r="CT31" s="4" t="s">
        <v>1</v>
      </c>
      <c r="CU31" s="4" t="s">
        <v>1</v>
      </c>
      <c r="CV31" s="37" t="s">
        <v>853</v>
      </c>
      <c r="CW31">
        <v>100</v>
      </c>
      <c r="CX31">
        <v>0</v>
      </c>
      <c r="CY31">
        <v>30</v>
      </c>
      <c r="CZ31" s="26" t="s">
        <v>1358</v>
      </c>
      <c r="DA31" t="s">
        <v>734</v>
      </c>
      <c r="DB31">
        <v>91.3</v>
      </c>
      <c r="DC31">
        <v>0</v>
      </c>
      <c r="DD31">
        <v>30</v>
      </c>
      <c r="DE31" s="26" t="s">
        <v>1358</v>
      </c>
      <c r="DF31" t="s">
        <v>735</v>
      </c>
      <c r="DG31">
        <v>3</v>
      </c>
      <c r="DH31">
        <v>0</v>
      </c>
      <c r="DI31">
        <v>30</v>
      </c>
      <c r="DJ31" s="26" t="s">
        <v>1358</v>
      </c>
      <c r="DK31" t="s">
        <v>736</v>
      </c>
      <c r="DL31">
        <v>6.1</v>
      </c>
      <c r="DM31">
        <v>0</v>
      </c>
      <c r="DN31">
        <v>30</v>
      </c>
      <c r="DO31" s="26" t="s">
        <v>1358</v>
      </c>
      <c r="DP31" t="s">
        <v>6</v>
      </c>
      <c r="DQ31" t="s">
        <v>1</v>
      </c>
      <c r="DR31">
        <v>4.5999999999999996</v>
      </c>
      <c r="DS31">
        <v>0</v>
      </c>
      <c r="DT31">
        <v>30</v>
      </c>
      <c r="DU31" s="26" t="s">
        <v>1358</v>
      </c>
      <c r="EA31" t="s">
        <v>982</v>
      </c>
      <c r="EB31">
        <v>2.4</v>
      </c>
      <c r="EC31">
        <v>0</v>
      </c>
      <c r="ED31">
        <v>30</v>
      </c>
      <c r="EE31" s="26" t="s">
        <v>1358</v>
      </c>
      <c r="EF31" s="26"/>
      <c r="FZ31" t="s">
        <v>806</v>
      </c>
      <c r="GA31">
        <v>1207.333333</v>
      </c>
      <c r="GE31" s="26" t="s">
        <v>1358</v>
      </c>
      <c r="HA31" s="5" t="s">
        <v>1069</v>
      </c>
      <c r="HB31" s="4">
        <v>1.7199999999999998</v>
      </c>
      <c r="HC31">
        <v>0</v>
      </c>
      <c r="HD31">
        <v>30</v>
      </c>
      <c r="HE31" s="26" t="s">
        <v>1358</v>
      </c>
      <c r="HF31" s="5" t="s">
        <v>1063</v>
      </c>
      <c r="HG31" s="4">
        <v>0.19700000000000001</v>
      </c>
      <c r="HH31">
        <v>0</v>
      </c>
      <c r="HI31">
        <v>30</v>
      </c>
      <c r="HJ31" s="26" t="s">
        <v>1358</v>
      </c>
      <c r="HK31" t="s">
        <v>815</v>
      </c>
      <c r="HL31" s="34">
        <v>1.6246666666666667</v>
      </c>
      <c r="HM31">
        <v>0</v>
      </c>
      <c r="HN31">
        <v>30</v>
      </c>
      <c r="HO31" t="s">
        <v>1</v>
      </c>
      <c r="HP31" s="26" t="s">
        <v>1358</v>
      </c>
      <c r="HZ31" t="s">
        <v>966</v>
      </c>
      <c r="IA31">
        <v>120</v>
      </c>
      <c r="IB31" s="5" t="s">
        <v>1</v>
      </c>
      <c r="IC31" s="5"/>
      <c r="ID31" s="5"/>
      <c r="IE31" s="10" t="s">
        <v>1</v>
      </c>
      <c r="IF31" s="10" t="s">
        <v>1</v>
      </c>
      <c r="IG31" s="10"/>
      <c r="IH31" s="10"/>
      <c r="II31" s="10"/>
      <c r="IJ31" s="10"/>
      <c r="IK31" s="10"/>
      <c r="IL31" s="10"/>
      <c r="IM31" s="10"/>
      <c r="IN31" s="10"/>
      <c r="IO31" s="10"/>
      <c r="IP31" s="10"/>
      <c r="IQ31" s="10"/>
      <c r="IR31" s="10"/>
      <c r="IS31" t="s">
        <v>978</v>
      </c>
      <c r="IT31">
        <v>348</v>
      </c>
      <c r="IW31" t="s">
        <v>1</v>
      </c>
      <c r="IX31" t="s">
        <v>1</v>
      </c>
      <c r="IY31" t="s">
        <v>1</v>
      </c>
      <c r="IZ31" t="s">
        <v>1</v>
      </c>
      <c r="JA31" t="s">
        <v>1</v>
      </c>
      <c r="JB31" s="4" t="s">
        <v>1</v>
      </c>
      <c r="JC31" t="s">
        <v>1</v>
      </c>
      <c r="JD31" s="4" t="s">
        <v>1</v>
      </c>
      <c r="JE31" t="s">
        <v>810</v>
      </c>
      <c r="JF31">
        <v>100</v>
      </c>
      <c r="JR31" t="s">
        <v>1066</v>
      </c>
      <c r="JS31">
        <v>166.9</v>
      </c>
      <c r="JU31" t="s">
        <v>1</v>
      </c>
      <c r="JW31" t="s">
        <v>1</v>
      </c>
      <c r="JX31">
        <v>0</v>
      </c>
      <c r="JY31">
        <v>110.00000000000001</v>
      </c>
      <c r="JZ31" t="s">
        <v>796</v>
      </c>
      <c r="KA31" t="s">
        <v>16</v>
      </c>
      <c r="KB31" t="s">
        <v>738</v>
      </c>
      <c r="KC31" t="s">
        <v>1</v>
      </c>
      <c r="KD31" t="s">
        <v>1</v>
      </c>
      <c r="KE31" t="s">
        <v>1</v>
      </c>
      <c r="KF31" t="s">
        <v>1</v>
      </c>
      <c r="KG31" t="s">
        <v>1</v>
      </c>
      <c r="KH31" t="s">
        <v>1</v>
      </c>
      <c r="KI31" t="s">
        <v>1</v>
      </c>
      <c r="KJ31" t="s">
        <v>1</v>
      </c>
      <c r="KK31" t="s">
        <v>1</v>
      </c>
    </row>
    <row r="32" spans="1:297" x14ac:dyDescent="0.2">
      <c r="A32">
        <v>31</v>
      </c>
      <c r="B32" t="s">
        <v>705</v>
      </c>
      <c r="C32" t="s">
        <v>45</v>
      </c>
      <c r="D32" t="s">
        <v>44</v>
      </c>
      <c r="E32">
        <v>5</v>
      </c>
      <c r="F32" t="s">
        <v>1297</v>
      </c>
      <c r="G32" t="s">
        <v>1</v>
      </c>
      <c r="H32" s="26" t="s">
        <v>1420</v>
      </c>
      <c r="I32" t="s">
        <v>1</v>
      </c>
      <c r="J32" t="s">
        <v>1</v>
      </c>
      <c r="K32" t="s">
        <v>1</v>
      </c>
      <c r="L32" t="s">
        <v>1</v>
      </c>
      <c r="M32" t="s">
        <v>1</v>
      </c>
      <c r="N32" t="s">
        <v>1</v>
      </c>
      <c r="O32" t="s">
        <v>1</v>
      </c>
      <c r="P32" t="s">
        <v>1</v>
      </c>
      <c r="Q32" t="s">
        <v>1</v>
      </c>
      <c r="R32" t="s">
        <v>1</v>
      </c>
      <c r="S32" t="s">
        <v>1</v>
      </c>
      <c r="T32" t="s">
        <v>1</v>
      </c>
      <c r="U32" t="s">
        <v>1</v>
      </c>
      <c r="V32" t="s">
        <v>1</v>
      </c>
      <c r="W32" t="s">
        <v>1</v>
      </c>
      <c r="X32" t="s">
        <v>1</v>
      </c>
      <c r="Y32" t="s">
        <v>1</v>
      </c>
      <c r="Z32" t="s">
        <v>1</v>
      </c>
      <c r="AA32" t="s">
        <v>1</v>
      </c>
      <c r="AB32" t="s">
        <v>1</v>
      </c>
      <c r="AC32" t="s">
        <v>1</v>
      </c>
      <c r="AD32" t="s">
        <v>1</v>
      </c>
      <c r="AE32" t="s">
        <v>1</v>
      </c>
      <c r="AF32" t="s">
        <v>1</v>
      </c>
      <c r="AG32" t="s">
        <v>1</v>
      </c>
      <c r="AH32" t="s">
        <v>1</v>
      </c>
      <c r="AI32" t="s">
        <v>1</v>
      </c>
      <c r="AJ32" t="s">
        <v>1</v>
      </c>
      <c r="AK32" t="s">
        <v>1</v>
      </c>
      <c r="AL32" t="s">
        <v>1</v>
      </c>
      <c r="AM32" t="s">
        <v>1</v>
      </c>
      <c r="AN32">
        <v>31</v>
      </c>
      <c r="AO32">
        <f t="shared" si="2"/>
        <v>31</v>
      </c>
      <c r="AP32">
        <f t="shared" si="0"/>
        <v>5</v>
      </c>
      <c r="AQ32">
        <f t="shared" si="1"/>
        <v>5</v>
      </c>
      <c r="AR32" s="26" t="s">
        <v>1355</v>
      </c>
      <c r="AS32" s="26" t="s">
        <v>1356</v>
      </c>
      <c r="AT32" t="s">
        <v>709</v>
      </c>
      <c r="AU32" t="s">
        <v>1</v>
      </c>
      <c r="AV32" t="s">
        <v>1</v>
      </c>
      <c r="AW32">
        <v>55.47</v>
      </c>
      <c r="AX32">
        <v>9.1</v>
      </c>
      <c r="AY32" t="s">
        <v>737</v>
      </c>
      <c r="BA32" s="3">
        <v>1</v>
      </c>
      <c r="BB32" s="3"/>
      <c r="BC32" s="3"/>
      <c r="BD32" s="3"/>
      <c r="BE32" s="3"/>
      <c r="BF32">
        <v>1989</v>
      </c>
      <c r="BG32" s="24" t="s">
        <v>733</v>
      </c>
      <c r="BH32" s="24" t="s">
        <v>733</v>
      </c>
      <c r="BI32" s="24" t="s">
        <v>733</v>
      </c>
      <c r="BJ32" s="24" t="s">
        <v>732</v>
      </c>
      <c r="BK32" s="24" t="s">
        <v>733</v>
      </c>
      <c r="BL32" s="25" t="s">
        <v>733</v>
      </c>
      <c r="BM32" s="24" t="s">
        <v>733</v>
      </c>
      <c r="BN32" s="24" t="s">
        <v>732</v>
      </c>
      <c r="BO32" s="24" t="s">
        <v>733</v>
      </c>
      <c r="BP32" s="24" t="s">
        <v>733</v>
      </c>
      <c r="BQ32" s="24" t="s">
        <v>945</v>
      </c>
      <c r="BR32" s="24" t="s">
        <v>945</v>
      </c>
      <c r="BS32" s="25" t="s">
        <v>934</v>
      </c>
      <c r="BT32" s="24" t="s">
        <v>934</v>
      </c>
      <c r="BU32" s="24" t="s">
        <v>934</v>
      </c>
      <c r="BV32" s="24" t="s">
        <v>934</v>
      </c>
      <c r="BW32" s="24" t="s">
        <v>934</v>
      </c>
      <c r="BX32" s="24" t="s">
        <v>934</v>
      </c>
      <c r="BY32" s="25" t="s">
        <v>945</v>
      </c>
      <c r="BZ32" t="s">
        <v>1398</v>
      </c>
      <c r="CB32" t="s">
        <v>1</v>
      </c>
      <c r="CC32" s="4">
        <f>216*10</f>
        <v>2160</v>
      </c>
      <c r="CD32" s="4"/>
      <c r="CE32" s="4"/>
      <c r="CF32" t="s">
        <v>793</v>
      </c>
      <c r="CG32">
        <v>100</v>
      </c>
      <c r="CH32" t="s">
        <v>805</v>
      </c>
      <c r="CI32" s="28">
        <v>1.5</v>
      </c>
      <c r="CJ32" s="10" t="s">
        <v>1442</v>
      </c>
      <c r="CK32" t="s">
        <v>807</v>
      </c>
      <c r="CL32" s="4">
        <f>172*10</f>
        <v>1720</v>
      </c>
      <c r="CM32" t="s">
        <v>847</v>
      </c>
      <c r="CN32" s="4">
        <f>4.1*10</f>
        <v>41</v>
      </c>
      <c r="CO32" s="4"/>
      <c r="CP32" s="4" t="s">
        <v>1</v>
      </c>
      <c r="CQ32" s="4" t="s">
        <v>1</v>
      </c>
      <c r="CR32" s="4" t="s">
        <v>1</v>
      </c>
      <c r="CS32" s="4" t="s">
        <v>1</v>
      </c>
      <c r="CT32" s="4" t="s">
        <v>1</v>
      </c>
      <c r="CU32" s="4" t="s">
        <v>1</v>
      </c>
      <c r="CV32" t="s">
        <v>855</v>
      </c>
      <c r="CW32">
        <v>100</v>
      </c>
      <c r="CX32">
        <v>0</v>
      </c>
      <c r="CY32">
        <v>30</v>
      </c>
      <c r="CZ32" s="26" t="s">
        <v>1358</v>
      </c>
      <c r="DA32" t="s">
        <v>734</v>
      </c>
      <c r="DB32">
        <v>81.8</v>
      </c>
      <c r="DC32">
        <v>0</v>
      </c>
      <c r="DD32">
        <v>30</v>
      </c>
      <c r="DE32" s="26" t="s">
        <v>1358</v>
      </c>
      <c r="DF32" t="s">
        <v>735</v>
      </c>
      <c r="DG32">
        <v>9.6999999999999993</v>
      </c>
      <c r="DH32">
        <v>0</v>
      </c>
      <c r="DI32">
        <v>30</v>
      </c>
      <c r="DJ32" s="26" t="s">
        <v>1358</v>
      </c>
      <c r="DK32" t="s">
        <v>736</v>
      </c>
      <c r="DL32">
        <v>8.5</v>
      </c>
      <c r="DM32">
        <v>0</v>
      </c>
      <c r="DN32">
        <v>30</v>
      </c>
      <c r="DO32" s="26" t="s">
        <v>1358</v>
      </c>
      <c r="DP32" t="s">
        <v>6</v>
      </c>
      <c r="DQ32" t="s">
        <v>814</v>
      </c>
      <c r="DR32">
        <v>6.5</v>
      </c>
      <c r="DS32">
        <v>0</v>
      </c>
      <c r="DT32">
        <v>30</v>
      </c>
      <c r="DU32" s="26" t="s">
        <v>1358</v>
      </c>
      <c r="EA32" t="s">
        <v>982</v>
      </c>
      <c r="EB32">
        <v>26</v>
      </c>
      <c r="EC32">
        <v>0</v>
      </c>
      <c r="ED32">
        <v>30</v>
      </c>
      <c r="EE32" s="26" t="s">
        <v>1358</v>
      </c>
      <c r="EF32" s="26"/>
      <c r="FZ32" t="s">
        <v>806</v>
      </c>
      <c r="GA32">
        <v>949</v>
      </c>
      <c r="GE32" s="26" t="s">
        <v>1358</v>
      </c>
      <c r="HA32" s="5" t="s">
        <v>1</v>
      </c>
      <c r="HB32" s="4" t="s">
        <v>1</v>
      </c>
      <c r="HC32" t="s">
        <v>1</v>
      </c>
      <c r="HD32" t="s">
        <v>1</v>
      </c>
      <c r="HE32" t="s">
        <v>1</v>
      </c>
      <c r="HF32" s="5" t="s">
        <v>1063</v>
      </c>
      <c r="HG32" s="4">
        <v>2.0399999999999996</v>
      </c>
      <c r="HH32">
        <v>0</v>
      </c>
      <c r="HI32">
        <v>30</v>
      </c>
      <c r="HJ32" s="26" t="s">
        <v>1358</v>
      </c>
      <c r="HK32" t="s">
        <v>815</v>
      </c>
      <c r="HL32" s="34">
        <v>1.55</v>
      </c>
      <c r="HM32">
        <v>0</v>
      </c>
      <c r="HN32">
        <v>30</v>
      </c>
      <c r="HO32" t="s">
        <v>1448</v>
      </c>
      <c r="HP32" s="26" t="s">
        <v>1358</v>
      </c>
      <c r="HZ32" t="s">
        <v>1</v>
      </c>
      <c r="IA32" t="s">
        <v>1</v>
      </c>
      <c r="IB32" s="10" t="s">
        <v>1</v>
      </c>
      <c r="IC32" s="10"/>
      <c r="ID32" s="10"/>
      <c r="IE32" s="10" t="s">
        <v>1</v>
      </c>
      <c r="IF32" s="10" t="s">
        <v>1</v>
      </c>
      <c r="IG32" s="10"/>
      <c r="IH32" s="10"/>
      <c r="II32" s="10"/>
      <c r="IJ32" s="10"/>
      <c r="IK32" s="10"/>
      <c r="IL32" s="10"/>
      <c r="IM32" s="10"/>
      <c r="IN32" s="10"/>
      <c r="IO32" s="10"/>
      <c r="IP32" s="10"/>
      <c r="IQ32" s="10"/>
      <c r="IR32" s="10"/>
      <c r="IS32" t="s">
        <v>1</v>
      </c>
      <c r="IT32" t="s">
        <v>1</v>
      </c>
      <c r="IW32" t="s">
        <v>1</v>
      </c>
      <c r="IX32" t="s">
        <v>1</v>
      </c>
      <c r="IY32" t="s">
        <v>1</v>
      </c>
      <c r="IZ32" t="s">
        <v>1</v>
      </c>
      <c r="JA32" t="s">
        <v>1</v>
      </c>
      <c r="JB32" s="4" t="s">
        <v>1</v>
      </c>
      <c r="JC32" t="s">
        <v>1</v>
      </c>
      <c r="JD32" s="4" t="s">
        <v>1</v>
      </c>
      <c r="JE32" t="s">
        <v>1</v>
      </c>
      <c r="JF32" t="s">
        <v>1</v>
      </c>
      <c r="JR32" t="s">
        <v>1066</v>
      </c>
      <c r="JS32">
        <v>163.80000000000001</v>
      </c>
      <c r="JU32" t="s">
        <v>1</v>
      </c>
      <c r="JW32" t="s">
        <v>1</v>
      </c>
      <c r="JX32">
        <v>0</v>
      </c>
      <c r="JY32">
        <v>150</v>
      </c>
      <c r="JZ32" t="s">
        <v>796</v>
      </c>
      <c r="KA32" t="s">
        <v>46</v>
      </c>
      <c r="KB32" t="s">
        <v>738</v>
      </c>
      <c r="KC32" t="s">
        <v>1</v>
      </c>
      <c r="KD32" t="s">
        <v>1</v>
      </c>
      <c r="KE32" t="s">
        <v>1</v>
      </c>
      <c r="KF32" t="s">
        <v>1</v>
      </c>
      <c r="KG32" t="s">
        <v>1</v>
      </c>
      <c r="KH32" t="s">
        <v>1</v>
      </c>
      <c r="KI32" t="s">
        <v>1</v>
      </c>
      <c r="KJ32" t="s">
        <v>1</v>
      </c>
      <c r="KK32" t="s">
        <v>1</v>
      </c>
    </row>
    <row r="33" spans="1:297" x14ac:dyDescent="0.2">
      <c r="A33">
        <v>32</v>
      </c>
      <c r="B33" t="s">
        <v>705</v>
      </c>
      <c r="C33" t="s">
        <v>47</v>
      </c>
      <c r="D33" t="s">
        <v>44</v>
      </c>
      <c r="E33">
        <v>5</v>
      </c>
      <c r="F33" t="s">
        <v>1297</v>
      </c>
      <c r="G33" t="s">
        <v>1</v>
      </c>
      <c r="H33" s="26" t="s">
        <v>1420</v>
      </c>
      <c r="I33" t="s">
        <v>1</v>
      </c>
      <c r="J33" t="s">
        <v>1</v>
      </c>
      <c r="K33" t="s">
        <v>1</v>
      </c>
      <c r="L33" t="s">
        <v>1</v>
      </c>
      <c r="M33" t="s">
        <v>1</v>
      </c>
      <c r="N33" t="s">
        <v>1</v>
      </c>
      <c r="O33" t="s">
        <v>1</v>
      </c>
      <c r="P33" t="s">
        <v>1</v>
      </c>
      <c r="Q33" t="s">
        <v>1</v>
      </c>
      <c r="R33" t="s">
        <v>1</v>
      </c>
      <c r="S33" t="s">
        <v>1</v>
      </c>
      <c r="T33" t="s">
        <v>1</v>
      </c>
      <c r="U33" t="s">
        <v>1</v>
      </c>
      <c r="V33" t="s">
        <v>1</v>
      </c>
      <c r="W33" t="s">
        <v>1</v>
      </c>
      <c r="X33" t="s">
        <v>1</v>
      </c>
      <c r="Y33" t="s">
        <v>1</v>
      </c>
      <c r="Z33" t="s">
        <v>1</v>
      </c>
      <c r="AA33" t="s">
        <v>1</v>
      </c>
      <c r="AB33" t="s">
        <v>1</v>
      </c>
      <c r="AC33" t="s">
        <v>1</v>
      </c>
      <c r="AD33" t="s">
        <v>1</v>
      </c>
      <c r="AE33" t="s">
        <v>1</v>
      </c>
      <c r="AF33" t="s">
        <v>1</v>
      </c>
      <c r="AG33" t="s">
        <v>1</v>
      </c>
      <c r="AH33" t="s">
        <v>1</v>
      </c>
      <c r="AI33" t="s">
        <v>1</v>
      </c>
      <c r="AJ33" t="s">
        <v>1</v>
      </c>
      <c r="AK33" t="s">
        <v>1</v>
      </c>
      <c r="AL33" t="s">
        <v>1</v>
      </c>
      <c r="AM33" t="s">
        <v>1</v>
      </c>
      <c r="AN33">
        <v>32</v>
      </c>
      <c r="AO33">
        <f t="shared" si="2"/>
        <v>32</v>
      </c>
      <c r="AP33">
        <f t="shared" si="0"/>
        <v>5</v>
      </c>
      <c r="AQ33">
        <f t="shared" si="1"/>
        <v>5</v>
      </c>
      <c r="AR33" s="26" t="s">
        <v>1355</v>
      </c>
      <c r="AS33" s="26" t="s">
        <v>1356</v>
      </c>
      <c r="AT33" t="s">
        <v>709</v>
      </c>
      <c r="AU33" t="s">
        <v>1</v>
      </c>
      <c r="AV33" t="s">
        <v>1</v>
      </c>
      <c r="AW33">
        <v>55.47</v>
      </c>
      <c r="AX33">
        <v>9.1</v>
      </c>
      <c r="AY33" t="s">
        <v>737</v>
      </c>
      <c r="BA33" s="3">
        <v>1</v>
      </c>
      <c r="BB33" s="3"/>
      <c r="BC33" s="3"/>
      <c r="BD33" s="3"/>
      <c r="BE33" s="3"/>
      <c r="BF33">
        <v>1989</v>
      </c>
      <c r="BG33" s="24" t="s">
        <v>733</v>
      </c>
      <c r="BH33" s="24" t="s">
        <v>733</v>
      </c>
      <c r="BI33" s="24" t="s">
        <v>733</v>
      </c>
      <c r="BJ33" s="24" t="s">
        <v>732</v>
      </c>
      <c r="BK33" s="24" t="s">
        <v>733</v>
      </c>
      <c r="BL33" s="25" t="s">
        <v>733</v>
      </c>
      <c r="BM33" s="24" t="s">
        <v>733</v>
      </c>
      <c r="BN33" s="24" t="s">
        <v>732</v>
      </c>
      <c r="BO33" s="24" t="s">
        <v>733</v>
      </c>
      <c r="BP33" s="24" t="s">
        <v>733</v>
      </c>
      <c r="BQ33" s="24" t="s">
        <v>945</v>
      </c>
      <c r="BR33" s="24" t="s">
        <v>945</v>
      </c>
      <c r="BS33" s="25" t="s">
        <v>934</v>
      </c>
      <c r="BT33" s="24" t="s">
        <v>934</v>
      </c>
      <c r="BU33" s="24" t="s">
        <v>934</v>
      </c>
      <c r="BV33" s="24" t="s">
        <v>934</v>
      </c>
      <c r="BW33" s="24" t="s">
        <v>934</v>
      </c>
      <c r="BX33" s="24" t="s">
        <v>934</v>
      </c>
      <c r="BY33" s="25" t="s">
        <v>945</v>
      </c>
      <c r="BZ33" t="s">
        <v>1398</v>
      </c>
      <c r="CB33" t="s">
        <v>1</v>
      </c>
      <c r="CC33" s="4">
        <f>519*10</f>
        <v>5190</v>
      </c>
      <c r="CD33" s="4"/>
      <c r="CE33" s="4"/>
      <c r="CF33" t="s">
        <v>793</v>
      </c>
      <c r="CG33">
        <v>100</v>
      </c>
      <c r="CH33" t="s">
        <v>805</v>
      </c>
      <c r="CI33" s="28">
        <v>1.5</v>
      </c>
      <c r="CJ33" s="10" t="s">
        <v>1442</v>
      </c>
      <c r="CK33" t="s">
        <v>807</v>
      </c>
      <c r="CL33" s="4">
        <f>453*10</f>
        <v>4530</v>
      </c>
      <c r="CM33" t="s">
        <v>847</v>
      </c>
      <c r="CN33" s="4">
        <f>9.8*10</f>
        <v>98</v>
      </c>
      <c r="CO33" s="4"/>
      <c r="CP33" s="4" t="s">
        <v>1</v>
      </c>
      <c r="CQ33" s="4" t="s">
        <v>1</v>
      </c>
      <c r="CR33" s="4" t="s">
        <v>1</v>
      </c>
      <c r="CS33" s="4" t="s">
        <v>1</v>
      </c>
      <c r="CT33" s="4" t="s">
        <v>1</v>
      </c>
      <c r="CU33" s="4" t="s">
        <v>1</v>
      </c>
      <c r="CV33" t="s">
        <v>855</v>
      </c>
      <c r="CW33">
        <v>100</v>
      </c>
      <c r="CX33">
        <v>0</v>
      </c>
      <c r="CY33">
        <v>30</v>
      </c>
      <c r="CZ33" s="26" t="s">
        <v>1358</v>
      </c>
      <c r="DA33" t="s">
        <v>734</v>
      </c>
      <c r="DB33">
        <v>81.8</v>
      </c>
      <c r="DC33">
        <v>0</v>
      </c>
      <c r="DD33">
        <v>30</v>
      </c>
      <c r="DE33" s="26" t="s">
        <v>1358</v>
      </c>
      <c r="DF33" t="s">
        <v>735</v>
      </c>
      <c r="DG33">
        <v>9.6999999999999993</v>
      </c>
      <c r="DH33">
        <v>0</v>
      </c>
      <c r="DI33">
        <v>30</v>
      </c>
      <c r="DJ33" s="26" t="s">
        <v>1358</v>
      </c>
      <c r="DK33" t="s">
        <v>736</v>
      </c>
      <c r="DL33">
        <v>8.5</v>
      </c>
      <c r="DM33">
        <v>0</v>
      </c>
      <c r="DN33">
        <v>30</v>
      </c>
      <c r="DO33" s="26" t="s">
        <v>1358</v>
      </c>
      <c r="DP33" t="s">
        <v>6</v>
      </c>
      <c r="DQ33" t="s">
        <v>814</v>
      </c>
      <c r="DR33">
        <v>6.5</v>
      </c>
      <c r="DS33">
        <v>0</v>
      </c>
      <c r="DT33">
        <v>30</v>
      </c>
      <c r="DU33" s="26" t="s">
        <v>1358</v>
      </c>
      <c r="EA33" t="s">
        <v>982</v>
      </c>
      <c r="EB33">
        <v>26</v>
      </c>
      <c r="EC33">
        <v>0</v>
      </c>
      <c r="ED33">
        <v>30</v>
      </c>
      <c r="EE33" s="26" t="s">
        <v>1358</v>
      </c>
      <c r="EF33" s="26"/>
      <c r="FZ33" t="s">
        <v>806</v>
      </c>
      <c r="GA33">
        <v>949</v>
      </c>
      <c r="GE33" s="26" t="s">
        <v>1358</v>
      </c>
      <c r="HA33" s="5" t="s">
        <v>1</v>
      </c>
      <c r="HB33" s="4" t="s">
        <v>1</v>
      </c>
      <c r="HC33" t="s">
        <v>1</v>
      </c>
      <c r="HD33" t="s">
        <v>1</v>
      </c>
      <c r="HE33" t="s">
        <v>1</v>
      </c>
      <c r="HF33" s="5" t="s">
        <v>1063</v>
      </c>
      <c r="HG33" s="4">
        <v>2.0399999999999996</v>
      </c>
      <c r="HH33">
        <v>0</v>
      </c>
      <c r="HI33">
        <v>30</v>
      </c>
      <c r="HJ33" s="26" t="s">
        <v>1358</v>
      </c>
      <c r="HK33" t="s">
        <v>815</v>
      </c>
      <c r="HL33" s="34">
        <v>1.55</v>
      </c>
      <c r="HM33">
        <v>0</v>
      </c>
      <c r="HN33">
        <v>30</v>
      </c>
      <c r="HO33" t="s">
        <v>1448</v>
      </c>
      <c r="HP33" s="26" t="s">
        <v>1358</v>
      </c>
      <c r="HZ33" t="s">
        <v>968</v>
      </c>
      <c r="IA33">
        <v>110</v>
      </c>
      <c r="IB33" s="10" t="s">
        <v>1</v>
      </c>
      <c r="IC33" s="10"/>
      <c r="ID33" s="10"/>
      <c r="IE33" s="10" t="s">
        <v>1</v>
      </c>
      <c r="IF33" s="10" t="s">
        <v>1</v>
      </c>
      <c r="IG33" s="10"/>
      <c r="IH33" s="10"/>
      <c r="II33" s="10"/>
      <c r="IJ33" s="10"/>
      <c r="IK33" s="10"/>
      <c r="IL33" s="10"/>
      <c r="IM33" s="10"/>
      <c r="IN33" s="10"/>
      <c r="IO33" s="10"/>
      <c r="IP33" s="10"/>
      <c r="IQ33" s="10"/>
      <c r="IR33" s="10"/>
      <c r="IS33" t="s">
        <v>1</v>
      </c>
      <c r="IT33" t="s">
        <v>1</v>
      </c>
      <c r="IW33" t="s">
        <v>1</v>
      </c>
      <c r="IX33" t="s">
        <v>1</v>
      </c>
      <c r="IY33" t="s">
        <v>1</v>
      </c>
      <c r="IZ33" t="s">
        <v>1</v>
      </c>
      <c r="JA33" t="s">
        <v>1</v>
      </c>
      <c r="JB33" s="4" t="s">
        <v>1</v>
      </c>
      <c r="JC33" t="s">
        <v>1</v>
      </c>
      <c r="JD33" s="4" t="s">
        <v>1</v>
      </c>
      <c r="JE33" t="s">
        <v>1</v>
      </c>
      <c r="JF33" t="s">
        <v>1</v>
      </c>
      <c r="JR33" t="s">
        <v>1066</v>
      </c>
      <c r="JS33">
        <v>185.9</v>
      </c>
      <c r="JU33" t="s">
        <v>1</v>
      </c>
      <c r="JW33" t="s">
        <v>1</v>
      </c>
      <c r="JX33">
        <v>0</v>
      </c>
      <c r="JY33">
        <v>150</v>
      </c>
      <c r="JZ33" t="s">
        <v>796</v>
      </c>
      <c r="KA33" t="s">
        <v>46</v>
      </c>
      <c r="KB33" t="s">
        <v>738</v>
      </c>
      <c r="KC33" t="s">
        <v>1</v>
      </c>
      <c r="KD33" t="s">
        <v>1</v>
      </c>
      <c r="KE33" t="s">
        <v>1</v>
      </c>
      <c r="KF33" t="s">
        <v>1</v>
      </c>
      <c r="KG33" t="s">
        <v>1</v>
      </c>
      <c r="KH33" t="s">
        <v>1</v>
      </c>
      <c r="KI33" t="s">
        <v>1</v>
      </c>
      <c r="KJ33" t="s">
        <v>1</v>
      </c>
      <c r="KK33" t="s">
        <v>1</v>
      </c>
    </row>
    <row r="34" spans="1:297" x14ac:dyDescent="0.2">
      <c r="A34">
        <v>33</v>
      </c>
      <c r="B34" t="s">
        <v>705</v>
      </c>
      <c r="C34" t="s">
        <v>48</v>
      </c>
      <c r="D34" t="s">
        <v>44</v>
      </c>
      <c r="E34">
        <v>5</v>
      </c>
      <c r="F34" t="s">
        <v>1297</v>
      </c>
      <c r="G34" t="s">
        <v>1</v>
      </c>
      <c r="H34" s="26" t="s">
        <v>1420</v>
      </c>
      <c r="I34" t="s">
        <v>1</v>
      </c>
      <c r="J34" t="s">
        <v>1</v>
      </c>
      <c r="K34" t="s">
        <v>1</v>
      </c>
      <c r="L34" t="s">
        <v>1</v>
      </c>
      <c r="M34" t="s">
        <v>1</v>
      </c>
      <c r="N34" t="s">
        <v>1</v>
      </c>
      <c r="O34" t="s">
        <v>1</v>
      </c>
      <c r="P34" t="s">
        <v>1</v>
      </c>
      <c r="Q34" t="s">
        <v>1</v>
      </c>
      <c r="R34" t="s">
        <v>1</v>
      </c>
      <c r="S34" t="s">
        <v>1</v>
      </c>
      <c r="T34" t="s">
        <v>1</v>
      </c>
      <c r="U34" t="s">
        <v>1</v>
      </c>
      <c r="V34" t="s">
        <v>1</v>
      </c>
      <c r="W34" t="s">
        <v>1</v>
      </c>
      <c r="X34" t="s">
        <v>1</v>
      </c>
      <c r="Y34" t="s">
        <v>1</v>
      </c>
      <c r="Z34" t="s">
        <v>1</v>
      </c>
      <c r="AA34" t="s">
        <v>1</v>
      </c>
      <c r="AB34" t="s">
        <v>1</v>
      </c>
      <c r="AC34" t="s">
        <v>1</v>
      </c>
      <c r="AD34" t="s">
        <v>1</v>
      </c>
      <c r="AE34" t="s">
        <v>1</v>
      </c>
      <c r="AF34" t="s">
        <v>1</v>
      </c>
      <c r="AG34" t="s">
        <v>1</v>
      </c>
      <c r="AH34" t="s">
        <v>1</v>
      </c>
      <c r="AI34" t="s">
        <v>1</v>
      </c>
      <c r="AJ34" t="s">
        <v>1</v>
      </c>
      <c r="AK34" t="s">
        <v>1</v>
      </c>
      <c r="AL34" t="s">
        <v>1</v>
      </c>
      <c r="AM34" t="s">
        <v>1</v>
      </c>
      <c r="AN34">
        <v>33</v>
      </c>
      <c r="AO34">
        <f t="shared" si="2"/>
        <v>33</v>
      </c>
      <c r="AP34">
        <f t="shared" si="0"/>
        <v>5</v>
      </c>
      <c r="AQ34">
        <f t="shared" si="1"/>
        <v>5</v>
      </c>
      <c r="AR34" s="26" t="s">
        <v>1355</v>
      </c>
      <c r="AS34" s="26" t="s">
        <v>1356</v>
      </c>
      <c r="AT34" t="s">
        <v>709</v>
      </c>
      <c r="AU34" t="s">
        <v>1</v>
      </c>
      <c r="AV34" t="s">
        <v>1</v>
      </c>
      <c r="AW34">
        <v>55.47</v>
      </c>
      <c r="AX34">
        <v>9.1</v>
      </c>
      <c r="AY34" t="s">
        <v>737</v>
      </c>
      <c r="BA34" s="3">
        <v>1</v>
      </c>
      <c r="BB34" s="3"/>
      <c r="BC34" s="3"/>
      <c r="BD34" s="3"/>
      <c r="BE34" s="3"/>
      <c r="BF34">
        <v>1989</v>
      </c>
      <c r="BG34" s="24" t="s">
        <v>733</v>
      </c>
      <c r="BH34" s="24" t="s">
        <v>733</v>
      </c>
      <c r="BI34" s="24" t="s">
        <v>733</v>
      </c>
      <c r="BJ34" s="24" t="s">
        <v>732</v>
      </c>
      <c r="BK34" s="24" t="s">
        <v>733</v>
      </c>
      <c r="BL34" s="25" t="s">
        <v>733</v>
      </c>
      <c r="BM34" s="24" t="s">
        <v>733</v>
      </c>
      <c r="BN34" s="24" t="s">
        <v>732</v>
      </c>
      <c r="BO34" s="24" t="s">
        <v>733</v>
      </c>
      <c r="BP34" s="24" t="s">
        <v>733</v>
      </c>
      <c r="BQ34" s="24" t="s">
        <v>945</v>
      </c>
      <c r="BR34" s="24" t="s">
        <v>945</v>
      </c>
      <c r="BS34" s="25" t="s">
        <v>934</v>
      </c>
      <c r="BT34" s="24" t="s">
        <v>934</v>
      </c>
      <c r="BU34" s="24" t="s">
        <v>934</v>
      </c>
      <c r="BV34" s="24" t="s">
        <v>934</v>
      </c>
      <c r="BW34" s="24" t="s">
        <v>934</v>
      </c>
      <c r="BX34" s="24" t="s">
        <v>934</v>
      </c>
      <c r="BY34" s="25" t="s">
        <v>945</v>
      </c>
      <c r="BZ34" t="s">
        <v>1398</v>
      </c>
      <c r="CB34" t="s">
        <v>1</v>
      </c>
      <c r="CC34" s="4">
        <f>608*10</f>
        <v>6080</v>
      </c>
      <c r="CD34" s="4"/>
      <c r="CE34" s="4"/>
      <c r="CF34" t="s">
        <v>793</v>
      </c>
      <c r="CG34">
        <v>100</v>
      </c>
      <c r="CH34" t="s">
        <v>805</v>
      </c>
      <c r="CI34" s="28">
        <v>1.5</v>
      </c>
      <c r="CJ34" s="10" t="s">
        <v>1442</v>
      </c>
      <c r="CK34" t="s">
        <v>807</v>
      </c>
      <c r="CL34" s="4">
        <f>564*10</f>
        <v>5640</v>
      </c>
      <c r="CM34" t="s">
        <v>847</v>
      </c>
      <c r="CN34" s="4">
        <f>13.4*10</f>
        <v>134</v>
      </c>
      <c r="CO34" s="4"/>
      <c r="CP34" s="4" t="s">
        <v>1</v>
      </c>
      <c r="CQ34" s="4" t="s">
        <v>1</v>
      </c>
      <c r="CR34" s="4" t="s">
        <v>1</v>
      </c>
      <c r="CS34" s="4" t="s">
        <v>1</v>
      </c>
      <c r="CT34" s="4" t="s">
        <v>1</v>
      </c>
      <c r="CU34" s="4" t="s">
        <v>1</v>
      </c>
      <c r="CV34" t="s">
        <v>855</v>
      </c>
      <c r="CW34">
        <v>100</v>
      </c>
      <c r="CX34">
        <v>0</v>
      </c>
      <c r="CY34">
        <v>30</v>
      </c>
      <c r="CZ34" s="26" t="s">
        <v>1358</v>
      </c>
      <c r="DA34" t="s">
        <v>734</v>
      </c>
      <c r="DB34">
        <v>81.8</v>
      </c>
      <c r="DC34">
        <v>0</v>
      </c>
      <c r="DD34">
        <v>30</v>
      </c>
      <c r="DE34" s="26" t="s">
        <v>1358</v>
      </c>
      <c r="DF34" t="s">
        <v>735</v>
      </c>
      <c r="DG34">
        <v>9.6999999999999993</v>
      </c>
      <c r="DH34">
        <v>0</v>
      </c>
      <c r="DI34">
        <v>30</v>
      </c>
      <c r="DJ34" s="26" t="s">
        <v>1358</v>
      </c>
      <c r="DK34" t="s">
        <v>736</v>
      </c>
      <c r="DL34">
        <v>8.5</v>
      </c>
      <c r="DM34">
        <v>0</v>
      </c>
      <c r="DN34">
        <v>30</v>
      </c>
      <c r="DO34" s="26" t="s">
        <v>1358</v>
      </c>
      <c r="DP34" t="s">
        <v>6</v>
      </c>
      <c r="DQ34" t="s">
        <v>814</v>
      </c>
      <c r="DR34">
        <v>6.5</v>
      </c>
      <c r="DS34">
        <v>0</v>
      </c>
      <c r="DT34">
        <v>30</v>
      </c>
      <c r="DU34" s="26" t="s">
        <v>1358</v>
      </c>
      <c r="EA34" t="s">
        <v>982</v>
      </c>
      <c r="EB34">
        <v>26</v>
      </c>
      <c r="EC34">
        <v>0</v>
      </c>
      <c r="ED34">
        <v>30</v>
      </c>
      <c r="EE34" s="26" t="s">
        <v>1358</v>
      </c>
      <c r="EF34" s="26"/>
      <c r="FZ34" t="s">
        <v>806</v>
      </c>
      <c r="GA34">
        <v>949</v>
      </c>
      <c r="GE34" s="26" t="s">
        <v>1358</v>
      </c>
      <c r="HA34" s="5" t="s">
        <v>1</v>
      </c>
      <c r="HB34" s="4" t="s">
        <v>1</v>
      </c>
      <c r="HC34" t="s">
        <v>1</v>
      </c>
      <c r="HD34" t="s">
        <v>1</v>
      </c>
      <c r="HE34" t="s">
        <v>1</v>
      </c>
      <c r="HF34" s="5" t="s">
        <v>1063</v>
      </c>
      <c r="HG34" s="4">
        <v>2.0399999999999996</v>
      </c>
      <c r="HH34">
        <v>0</v>
      </c>
      <c r="HI34">
        <v>30</v>
      </c>
      <c r="HJ34" s="26" t="s">
        <v>1358</v>
      </c>
      <c r="HK34" t="s">
        <v>815</v>
      </c>
      <c r="HL34" s="34">
        <v>1.55</v>
      </c>
      <c r="HM34">
        <v>0</v>
      </c>
      <c r="HN34">
        <v>30</v>
      </c>
      <c r="HO34" t="s">
        <v>1448</v>
      </c>
      <c r="HP34" s="26" t="s">
        <v>1358</v>
      </c>
      <c r="HZ34" t="s">
        <v>968</v>
      </c>
      <c r="IA34">
        <v>165</v>
      </c>
      <c r="IB34" s="10" t="s">
        <v>1</v>
      </c>
      <c r="IC34" s="10"/>
      <c r="ID34" s="10"/>
      <c r="IE34" s="10" t="s">
        <v>1</v>
      </c>
      <c r="IF34" s="10" t="s">
        <v>1</v>
      </c>
      <c r="IG34" s="10"/>
      <c r="IH34" s="10"/>
      <c r="II34" s="10"/>
      <c r="IJ34" s="10"/>
      <c r="IK34" s="10"/>
      <c r="IL34" s="10"/>
      <c r="IM34" s="10"/>
      <c r="IN34" s="10"/>
      <c r="IO34" s="10"/>
      <c r="IP34" s="10"/>
      <c r="IQ34" s="10"/>
      <c r="IR34" s="10"/>
      <c r="IS34" t="s">
        <v>1</v>
      </c>
      <c r="IT34" t="s">
        <v>1</v>
      </c>
      <c r="IW34" t="s">
        <v>1</v>
      </c>
      <c r="IX34" t="s">
        <v>1</v>
      </c>
      <c r="IY34" t="s">
        <v>1</v>
      </c>
      <c r="IZ34" t="s">
        <v>1</v>
      </c>
      <c r="JA34" t="s">
        <v>1</v>
      </c>
      <c r="JB34" s="4" t="s">
        <v>1</v>
      </c>
      <c r="JC34" t="s">
        <v>1</v>
      </c>
      <c r="JD34" s="4" t="s">
        <v>1</v>
      </c>
      <c r="JE34" t="s">
        <v>1</v>
      </c>
      <c r="JF34" t="s">
        <v>1</v>
      </c>
      <c r="JR34" t="s">
        <v>1066</v>
      </c>
      <c r="JS34">
        <v>185.9</v>
      </c>
      <c r="JU34" t="s">
        <v>1</v>
      </c>
      <c r="JW34" t="s">
        <v>1</v>
      </c>
      <c r="JX34">
        <v>0</v>
      </c>
      <c r="JY34">
        <v>150</v>
      </c>
      <c r="JZ34" t="s">
        <v>796</v>
      </c>
      <c r="KA34" t="s">
        <v>46</v>
      </c>
      <c r="KB34" t="s">
        <v>738</v>
      </c>
      <c r="KC34" t="s">
        <v>1</v>
      </c>
      <c r="KD34" t="s">
        <v>1</v>
      </c>
      <c r="KE34" t="s">
        <v>1</v>
      </c>
      <c r="KF34" t="s">
        <v>1</v>
      </c>
      <c r="KG34" t="s">
        <v>1</v>
      </c>
      <c r="KH34" t="s">
        <v>1</v>
      </c>
      <c r="KI34" t="s">
        <v>1</v>
      </c>
      <c r="KJ34" t="s">
        <v>1</v>
      </c>
      <c r="KK34" t="s">
        <v>1</v>
      </c>
    </row>
    <row r="35" spans="1:297" x14ac:dyDescent="0.2">
      <c r="A35">
        <v>34</v>
      </c>
      <c r="B35" t="s">
        <v>705</v>
      </c>
      <c r="C35" t="s">
        <v>49</v>
      </c>
      <c r="D35" t="s">
        <v>44</v>
      </c>
      <c r="E35">
        <v>5</v>
      </c>
      <c r="F35" t="s">
        <v>1297</v>
      </c>
      <c r="G35" t="s">
        <v>1</v>
      </c>
      <c r="H35" s="26" t="s">
        <v>1420</v>
      </c>
      <c r="I35" t="s">
        <v>1</v>
      </c>
      <c r="J35" t="s">
        <v>1</v>
      </c>
      <c r="K35" t="s">
        <v>1</v>
      </c>
      <c r="L35" t="s">
        <v>1</v>
      </c>
      <c r="M35" t="s">
        <v>1</v>
      </c>
      <c r="N35" t="s">
        <v>1</v>
      </c>
      <c r="O35" t="s">
        <v>1</v>
      </c>
      <c r="P35" t="s">
        <v>1</v>
      </c>
      <c r="Q35" t="s">
        <v>1</v>
      </c>
      <c r="R35" t="s">
        <v>1</v>
      </c>
      <c r="S35" t="s">
        <v>1</v>
      </c>
      <c r="T35" t="s">
        <v>1</v>
      </c>
      <c r="U35" t="s">
        <v>1</v>
      </c>
      <c r="V35" t="s">
        <v>1</v>
      </c>
      <c r="W35" t="s">
        <v>1</v>
      </c>
      <c r="X35" t="s">
        <v>1</v>
      </c>
      <c r="Y35" t="s">
        <v>1</v>
      </c>
      <c r="Z35" t="s">
        <v>1</v>
      </c>
      <c r="AA35" t="s">
        <v>1</v>
      </c>
      <c r="AB35" t="s">
        <v>1</v>
      </c>
      <c r="AC35" t="s">
        <v>1</v>
      </c>
      <c r="AD35" t="s">
        <v>1</v>
      </c>
      <c r="AE35" t="s">
        <v>1</v>
      </c>
      <c r="AF35" t="s">
        <v>1</v>
      </c>
      <c r="AG35" t="s">
        <v>1</v>
      </c>
      <c r="AH35" t="s">
        <v>1</v>
      </c>
      <c r="AI35" t="s">
        <v>1</v>
      </c>
      <c r="AJ35" t="s">
        <v>1</v>
      </c>
      <c r="AK35" t="s">
        <v>1</v>
      </c>
      <c r="AL35" t="s">
        <v>1</v>
      </c>
      <c r="AM35" t="s">
        <v>1</v>
      </c>
      <c r="AN35">
        <v>34</v>
      </c>
      <c r="AO35">
        <f t="shared" si="2"/>
        <v>34</v>
      </c>
      <c r="AP35">
        <f t="shared" si="0"/>
        <v>5</v>
      </c>
      <c r="AQ35">
        <f t="shared" si="1"/>
        <v>5</v>
      </c>
      <c r="AR35" s="26" t="s">
        <v>1355</v>
      </c>
      <c r="AS35" s="26" t="s">
        <v>1356</v>
      </c>
      <c r="AT35" t="s">
        <v>709</v>
      </c>
      <c r="AU35" t="s">
        <v>1</v>
      </c>
      <c r="AV35" t="s">
        <v>1</v>
      </c>
      <c r="AW35">
        <v>55.47</v>
      </c>
      <c r="AX35">
        <v>9.1</v>
      </c>
      <c r="AY35" t="s">
        <v>737</v>
      </c>
      <c r="BA35" s="3">
        <v>1</v>
      </c>
      <c r="BB35" s="3"/>
      <c r="BC35" s="3"/>
      <c r="BD35" s="3"/>
      <c r="BE35" s="3"/>
      <c r="BF35">
        <v>1989</v>
      </c>
      <c r="BG35" s="24" t="s">
        <v>733</v>
      </c>
      <c r="BH35" s="24" t="s">
        <v>733</v>
      </c>
      <c r="BI35" s="24" t="s">
        <v>733</v>
      </c>
      <c r="BJ35" s="24" t="s">
        <v>732</v>
      </c>
      <c r="BK35" s="24" t="s">
        <v>733</v>
      </c>
      <c r="BL35" s="25" t="s">
        <v>733</v>
      </c>
      <c r="BM35" s="24" t="s">
        <v>733</v>
      </c>
      <c r="BN35" s="24" t="s">
        <v>732</v>
      </c>
      <c r="BO35" s="24" t="s">
        <v>733</v>
      </c>
      <c r="BP35" s="24" t="s">
        <v>733</v>
      </c>
      <c r="BQ35" s="24" t="s">
        <v>945</v>
      </c>
      <c r="BR35" s="24" t="s">
        <v>945</v>
      </c>
      <c r="BS35" s="25" t="s">
        <v>934</v>
      </c>
      <c r="BT35" s="24" t="s">
        <v>934</v>
      </c>
      <c r="BU35" s="24" t="s">
        <v>934</v>
      </c>
      <c r="BV35" s="24" t="s">
        <v>934</v>
      </c>
      <c r="BW35" s="24" t="s">
        <v>934</v>
      </c>
      <c r="BX35" s="24" t="s">
        <v>934</v>
      </c>
      <c r="BY35" s="25" t="s">
        <v>945</v>
      </c>
      <c r="BZ35" t="s">
        <v>1398</v>
      </c>
      <c r="CB35" t="s">
        <v>1</v>
      </c>
      <c r="CC35" s="4">
        <f>441*10</f>
        <v>4410</v>
      </c>
      <c r="CD35" s="4"/>
      <c r="CE35" s="4"/>
      <c r="CF35" t="s">
        <v>793</v>
      </c>
      <c r="CG35">
        <v>100</v>
      </c>
      <c r="CH35" t="s">
        <v>805</v>
      </c>
      <c r="CI35" s="28">
        <v>1.5</v>
      </c>
      <c r="CJ35" s="10" t="s">
        <v>1442</v>
      </c>
      <c r="CK35" t="s">
        <v>807</v>
      </c>
      <c r="CL35" s="4">
        <f>395*10</f>
        <v>3950</v>
      </c>
      <c r="CM35" t="s">
        <v>847</v>
      </c>
      <c r="CN35" s="4">
        <f>9.8*10</f>
        <v>98</v>
      </c>
      <c r="CO35" s="4"/>
      <c r="CP35" s="4" t="s">
        <v>1</v>
      </c>
      <c r="CQ35" s="4" t="s">
        <v>1</v>
      </c>
      <c r="CR35" s="4" t="s">
        <v>1</v>
      </c>
      <c r="CS35" s="4" t="s">
        <v>1</v>
      </c>
      <c r="CT35" s="4" t="s">
        <v>1</v>
      </c>
      <c r="CU35" s="4" t="s">
        <v>1</v>
      </c>
      <c r="CV35" t="s">
        <v>855</v>
      </c>
      <c r="CW35">
        <v>100</v>
      </c>
      <c r="CX35">
        <v>0</v>
      </c>
      <c r="CY35">
        <v>30</v>
      </c>
      <c r="CZ35" s="26" t="s">
        <v>1358</v>
      </c>
      <c r="DA35" t="s">
        <v>734</v>
      </c>
      <c r="DB35">
        <v>81.8</v>
      </c>
      <c r="DC35">
        <v>0</v>
      </c>
      <c r="DD35">
        <v>30</v>
      </c>
      <c r="DE35" s="26" t="s">
        <v>1358</v>
      </c>
      <c r="DF35" t="s">
        <v>735</v>
      </c>
      <c r="DG35">
        <v>9.6999999999999993</v>
      </c>
      <c r="DH35">
        <v>0</v>
      </c>
      <c r="DI35">
        <v>30</v>
      </c>
      <c r="DJ35" s="26" t="s">
        <v>1358</v>
      </c>
      <c r="DK35" t="s">
        <v>736</v>
      </c>
      <c r="DL35">
        <v>8.5</v>
      </c>
      <c r="DM35">
        <v>0</v>
      </c>
      <c r="DN35">
        <v>30</v>
      </c>
      <c r="DO35" s="26" t="s">
        <v>1358</v>
      </c>
      <c r="DP35" t="s">
        <v>6</v>
      </c>
      <c r="DQ35" t="s">
        <v>814</v>
      </c>
      <c r="DR35">
        <v>6.5</v>
      </c>
      <c r="DS35">
        <v>0</v>
      </c>
      <c r="DT35">
        <v>30</v>
      </c>
      <c r="DU35" s="26" t="s">
        <v>1358</v>
      </c>
      <c r="EA35" t="s">
        <v>982</v>
      </c>
      <c r="EB35">
        <v>26</v>
      </c>
      <c r="EC35">
        <v>0</v>
      </c>
      <c r="ED35">
        <v>30</v>
      </c>
      <c r="EE35" s="26" t="s">
        <v>1358</v>
      </c>
      <c r="EF35" s="26"/>
      <c r="FZ35" t="s">
        <v>806</v>
      </c>
      <c r="GA35">
        <v>949</v>
      </c>
      <c r="GE35" s="26" t="s">
        <v>1358</v>
      </c>
      <c r="HA35" s="5" t="s">
        <v>1</v>
      </c>
      <c r="HB35" s="4" t="s">
        <v>1</v>
      </c>
      <c r="HC35" t="s">
        <v>1</v>
      </c>
      <c r="HD35" t="s">
        <v>1</v>
      </c>
      <c r="HE35" t="s">
        <v>1</v>
      </c>
      <c r="HF35" s="5" t="s">
        <v>1063</v>
      </c>
      <c r="HG35" s="4">
        <v>2.0399999999999996</v>
      </c>
      <c r="HH35">
        <v>0</v>
      </c>
      <c r="HI35">
        <v>30</v>
      </c>
      <c r="HJ35" s="26" t="s">
        <v>1358</v>
      </c>
      <c r="HK35" t="s">
        <v>815</v>
      </c>
      <c r="HL35" s="34">
        <v>1.55</v>
      </c>
      <c r="HM35">
        <v>0</v>
      </c>
      <c r="HN35">
        <v>30</v>
      </c>
      <c r="HO35" t="s">
        <v>1448</v>
      </c>
      <c r="HP35" s="26" t="s">
        <v>1358</v>
      </c>
      <c r="HZ35" t="s">
        <v>1</v>
      </c>
      <c r="IA35" t="s">
        <v>1</v>
      </c>
      <c r="IB35" s="10" t="s">
        <v>1</v>
      </c>
      <c r="IC35" s="10"/>
      <c r="ID35" s="10"/>
      <c r="IE35" s="10" t="s">
        <v>1</v>
      </c>
      <c r="IF35" s="10" t="s">
        <v>1</v>
      </c>
      <c r="IG35" s="10"/>
      <c r="IH35" s="10"/>
      <c r="II35" s="10"/>
      <c r="IJ35" s="10"/>
      <c r="IK35" s="10"/>
      <c r="IL35" s="10"/>
      <c r="IM35" s="10"/>
      <c r="IN35" s="10"/>
      <c r="IO35" s="10"/>
      <c r="IP35" s="10"/>
      <c r="IQ35" s="10"/>
      <c r="IR35" s="10"/>
      <c r="IS35" t="s">
        <v>1</v>
      </c>
      <c r="IT35" t="s">
        <v>1</v>
      </c>
      <c r="IW35" t="s">
        <v>979</v>
      </c>
      <c r="IX35">
        <v>155</v>
      </c>
      <c r="IY35" t="s">
        <v>1</v>
      </c>
      <c r="IZ35" t="s">
        <v>1</v>
      </c>
      <c r="JA35" t="s">
        <v>1</v>
      </c>
      <c r="JB35" s="4" t="s">
        <v>1</v>
      </c>
      <c r="JC35" t="s">
        <v>1</v>
      </c>
      <c r="JD35" s="4" t="s">
        <v>1</v>
      </c>
      <c r="JE35" t="s">
        <v>1</v>
      </c>
      <c r="JF35" t="s">
        <v>1</v>
      </c>
      <c r="JR35" t="s">
        <v>1066</v>
      </c>
      <c r="JS35">
        <v>278.89999999999998</v>
      </c>
      <c r="JU35" t="s">
        <v>1</v>
      </c>
      <c r="JW35" t="s">
        <v>1</v>
      </c>
      <c r="JX35">
        <v>0</v>
      </c>
      <c r="JY35">
        <v>150</v>
      </c>
      <c r="JZ35" t="s">
        <v>796</v>
      </c>
      <c r="KA35" t="s">
        <v>46</v>
      </c>
      <c r="KB35" t="s">
        <v>738</v>
      </c>
      <c r="KC35" t="s">
        <v>1</v>
      </c>
      <c r="KD35" t="s">
        <v>1</v>
      </c>
      <c r="KE35" t="s">
        <v>1</v>
      </c>
      <c r="KF35" t="s">
        <v>1</v>
      </c>
      <c r="KG35" t="s">
        <v>1</v>
      </c>
      <c r="KH35" t="s">
        <v>1</v>
      </c>
      <c r="KI35" t="s">
        <v>1</v>
      </c>
      <c r="KJ35" t="s">
        <v>1</v>
      </c>
      <c r="KK35" t="s">
        <v>1</v>
      </c>
    </row>
    <row r="36" spans="1:297" x14ac:dyDescent="0.2">
      <c r="A36">
        <v>35</v>
      </c>
      <c r="B36" t="s">
        <v>705</v>
      </c>
      <c r="C36" t="s">
        <v>50</v>
      </c>
      <c r="D36" t="s">
        <v>44</v>
      </c>
      <c r="E36">
        <v>5</v>
      </c>
      <c r="F36" t="s">
        <v>1297</v>
      </c>
      <c r="G36" t="s">
        <v>1</v>
      </c>
      <c r="H36" s="26" t="s">
        <v>1420</v>
      </c>
      <c r="I36" t="s">
        <v>1</v>
      </c>
      <c r="J36" t="s">
        <v>1</v>
      </c>
      <c r="K36" t="s">
        <v>1</v>
      </c>
      <c r="L36" t="s">
        <v>1</v>
      </c>
      <c r="M36" t="s">
        <v>1</v>
      </c>
      <c r="N36" t="s">
        <v>1</v>
      </c>
      <c r="O36" t="s">
        <v>1</v>
      </c>
      <c r="P36" t="s">
        <v>1</v>
      </c>
      <c r="Q36" t="s">
        <v>1</v>
      </c>
      <c r="R36" t="s">
        <v>1</v>
      </c>
      <c r="S36" t="s">
        <v>1</v>
      </c>
      <c r="T36" t="s">
        <v>1</v>
      </c>
      <c r="U36" t="s">
        <v>1</v>
      </c>
      <c r="V36" t="s">
        <v>1</v>
      </c>
      <c r="W36" t="s">
        <v>1</v>
      </c>
      <c r="X36" t="s">
        <v>1</v>
      </c>
      <c r="Y36" t="s">
        <v>1</v>
      </c>
      <c r="Z36" t="s">
        <v>1</v>
      </c>
      <c r="AA36" t="s">
        <v>1</v>
      </c>
      <c r="AB36" t="s">
        <v>1</v>
      </c>
      <c r="AC36" t="s">
        <v>1</v>
      </c>
      <c r="AD36" t="s">
        <v>1</v>
      </c>
      <c r="AE36" t="s">
        <v>1</v>
      </c>
      <c r="AF36" t="s">
        <v>1</v>
      </c>
      <c r="AG36" t="s">
        <v>1</v>
      </c>
      <c r="AH36" t="s">
        <v>1</v>
      </c>
      <c r="AI36" t="s">
        <v>1</v>
      </c>
      <c r="AJ36" t="s">
        <v>1</v>
      </c>
      <c r="AK36" t="s">
        <v>1</v>
      </c>
      <c r="AL36" t="s">
        <v>1</v>
      </c>
      <c r="AM36" t="s">
        <v>1</v>
      </c>
      <c r="AN36">
        <v>35</v>
      </c>
      <c r="AO36">
        <f t="shared" si="2"/>
        <v>35</v>
      </c>
      <c r="AP36">
        <f t="shared" si="0"/>
        <v>5</v>
      </c>
      <c r="AQ36">
        <f t="shared" si="1"/>
        <v>5</v>
      </c>
      <c r="AR36" s="26" t="s">
        <v>1355</v>
      </c>
      <c r="AS36" s="26" t="s">
        <v>1356</v>
      </c>
      <c r="AT36" t="s">
        <v>709</v>
      </c>
      <c r="AU36" t="s">
        <v>1</v>
      </c>
      <c r="AV36" t="s">
        <v>1</v>
      </c>
      <c r="AW36">
        <v>55.47</v>
      </c>
      <c r="AX36">
        <v>9.1</v>
      </c>
      <c r="AY36" t="s">
        <v>737</v>
      </c>
      <c r="BA36" s="3">
        <v>1</v>
      </c>
      <c r="BB36" s="3"/>
      <c r="BC36" s="3"/>
      <c r="BD36" s="3"/>
      <c r="BE36" s="3"/>
      <c r="BF36">
        <v>1989</v>
      </c>
      <c r="BG36" s="24" t="s">
        <v>733</v>
      </c>
      <c r="BH36" s="24" t="s">
        <v>733</v>
      </c>
      <c r="BI36" s="24" t="s">
        <v>733</v>
      </c>
      <c r="BJ36" s="24" t="s">
        <v>732</v>
      </c>
      <c r="BK36" s="24" t="s">
        <v>733</v>
      </c>
      <c r="BL36" s="25" t="s">
        <v>733</v>
      </c>
      <c r="BM36" s="24" t="s">
        <v>733</v>
      </c>
      <c r="BN36" s="24" t="s">
        <v>732</v>
      </c>
      <c r="BO36" s="24" t="s">
        <v>733</v>
      </c>
      <c r="BP36" s="24" t="s">
        <v>733</v>
      </c>
      <c r="BQ36" s="24" t="s">
        <v>945</v>
      </c>
      <c r="BR36" s="24" t="s">
        <v>945</v>
      </c>
      <c r="BS36" s="25" t="s">
        <v>934</v>
      </c>
      <c r="BT36" s="24" t="s">
        <v>934</v>
      </c>
      <c r="BU36" s="24" t="s">
        <v>934</v>
      </c>
      <c r="BV36" s="24" t="s">
        <v>934</v>
      </c>
      <c r="BW36" s="24" t="s">
        <v>934</v>
      </c>
      <c r="BX36" s="24" t="s">
        <v>934</v>
      </c>
      <c r="BY36" s="25" t="s">
        <v>945</v>
      </c>
      <c r="BZ36" t="s">
        <v>1398</v>
      </c>
      <c r="CB36" t="s">
        <v>1</v>
      </c>
      <c r="CC36" s="4">
        <f>622*10</f>
        <v>6220</v>
      </c>
      <c r="CD36" s="4"/>
      <c r="CE36" s="4"/>
      <c r="CF36" t="s">
        <v>793</v>
      </c>
      <c r="CG36">
        <v>100</v>
      </c>
      <c r="CH36" t="s">
        <v>805</v>
      </c>
      <c r="CI36" s="28">
        <v>1.5</v>
      </c>
      <c r="CJ36" s="10" t="s">
        <v>1442</v>
      </c>
      <c r="CK36" t="s">
        <v>807</v>
      </c>
      <c r="CL36" s="4">
        <f>540*10</f>
        <v>5400</v>
      </c>
      <c r="CM36" t="s">
        <v>847</v>
      </c>
      <c r="CN36" s="4">
        <f>13.8*10</f>
        <v>138</v>
      </c>
      <c r="CO36" s="4"/>
      <c r="CP36" s="4" t="s">
        <v>1</v>
      </c>
      <c r="CQ36" s="4" t="s">
        <v>1</v>
      </c>
      <c r="CR36" s="4" t="s">
        <v>1</v>
      </c>
      <c r="CS36" s="4" t="s">
        <v>1</v>
      </c>
      <c r="CT36" s="4" t="s">
        <v>1</v>
      </c>
      <c r="CU36" s="4" t="s">
        <v>1</v>
      </c>
      <c r="CV36" t="s">
        <v>855</v>
      </c>
      <c r="CW36">
        <v>100</v>
      </c>
      <c r="CX36">
        <v>0</v>
      </c>
      <c r="CY36">
        <v>30</v>
      </c>
      <c r="CZ36" s="26" t="s">
        <v>1358</v>
      </c>
      <c r="DA36" t="s">
        <v>734</v>
      </c>
      <c r="DB36">
        <v>81.8</v>
      </c>
      <c r="DC36">
        <v>0</v>
      </c>
      <c r="DD36">
        <v>30</v>
      </c>
      <c r="DE36" s="26" t="s">
        <v>1358</v>
      </c>
      <c r="DF36" t="s">
        <v>735</v>
      </c>
      <c r="DG36">
        <v>9.6999999999999993</v>
      </c>
      <c r="DH36">
        <v>0</v>
      </c>
      <c r="DI36">
        <v>30</v>
      </c>
      <c r="DJ36" s="26" t="s">
        <v>1358</v>
      </c>
      <c r="DK36" t="s">
        <v>736</v>
      </c>
      <c r="DL36">
        <v>8.5</v>
      </c>
      <c r="DM36">
        <v>0</v>
      </c>
      <c r="DN36">
        <v>30</v>
      </c>
      <c r="DO36" s="26" t="s">
        <v>1358</v>
      </c>
      <c r="DP36" t="s">
        <v>6</v>
      </c>
      <c r="DQ36" t="s">
        <v>814</v>
      </c>
      <c r="DR36">
        <v>6.5</v>
      </c>
      <c r="DS36">
        <v>0</v>
      </c>
      <c r="DT36">
        <v>30</v>
      </c>
      <c r="DU36" s="26" t="s">
        <v>1358</v>
      </c>
      <c r="EA36" t="s">
        <v>982</v>
      </c>
      <c r="EB36">
        <v>26</v>
      </c>
      <c r="EC36">
        <v>0</v>
      </c>
      <c r="ED36">
        <v>30</v>
      </c>
      <c r="EE36" s="26" t="s">
        <v>1358</v>
      </c>
      <c r="EF36" s="26"/>
      <c r="FZ36" t="s">
        <v>806</v>
      </c>
      <c r="GA36">
        <v>949</v>
      </c>
      <c r="GE36" s="26" t="s">
        <v>1358</v>
      </c>
      <c r="HA36" s="5" t="s">
        <v>1</v>
      </c>
      <c r="HB36" s="4" t="s">
        <v>1</v>
      </c>
      <c r="HC36" t="s">
        <v>1</v>
      </c>
      <c r="HD36" t="s">
        <v>1</v>
      </c>
      <c r="HE36" t="s">
        <v>1</v>
      </c>
      <c r="HF36" s="5" t="s">
        <v>1063</v>
      </c>
      <c r="HG36" s="4">
        <v>2.0399999999999996</v>
      </c>
      <c r="HH36">
        <v>0</v>
      </c>
      <c r="HI36">
        <v>30</v>
      </c>
      <c r="HJ36" s="26" t="s">
        <v>1358</v>
      </c>
      <c r="HK36" t="s">
        <v>815</v>
      </c>
      <c r="HL36" s="34">
        <v>1.55</v>
      </c>
      <c r="HM36">
        <v>0</v>
      </c>
      <c r="HN36">
        <v>30</v>
      </c>
      <c r="HO36" t="s">
        <v>1448</v>
      </c>
      <c r="HP36" s="26" t="s">
        <v>1358</v>
      </c>
      <c r="HZ36" t="s">
        <v>1</v>
      </c>
      <c r="IA36" t="s">
        <v>1</v>
      </c>
      <c r="IB36" s="10" t="s">
        <v>1</v>
      </c>
      <c r="IC36" s="10"/>
      <c r="ID36" s="10"/>
      <c r="IE36" s="10" t="s">
        <v>1</v>
      </c>
      <c r="IF36" s="10" t="s">
        <v>1</v>
      </c>
      <c r="IG36" s="10"/>
      <c r="IH36" s="10"/>
      <c r="II36" s="10"/>
      <c r="IJ36" s="10"/>
      <c r="IK36" s="10"/>
      <c r="IL36" s="10"/>
      <c r="IM36" s="10"/>
      <c r="IN36" s="10"/>
      <c r="IO36" s="10"/>
      <c r="IP36" s="10"/>
      <c r="IQ36" s="10"/>
      <c r="IR36" s="10"/>
      <c r="IS36" t="s">
        <v>1</v>
      </c>
      <c r="IT36" t="s">
        <v>1</v>
      </c>
      <c r="IW36" t="s">
        <v>979</v>
      </c>
      <c r="IX36">
        <v>232</v>
      </c>
      <c r="IY36" t="s">
        <v>1</v>
      </c>
      <c r="IZ36" t="s">
        <v>1</v>
      </c>
      <c r="JA36" t="s">
        <v>1</v>
      </c>
      <c r="JB36" s="4" t="s">
        <v>1</v>
      </c>
      <c r="JC36" t="s">
        <v>1</v>
      </c>
      <c r="JD36" s="4" t="s">
        <v>1</v>
      </c>
      <c r="JE36" t="s">
        <v>1</v>
      </c>
      <c r="JF36" t="s">
        <v>1</v>
      </c>
      <c r="JR36" t="s">
        <v>1066</v>
      </c>
      <c r="JS36">
        <v>323.10000000000002</v>
      </c>
      <c r="JU36" t="s">
        <v>1</v>
      </c>
      <c r="JW36" t="s">
        <v>1</v>
      </c>
      <c r="JX36">
        <v>0</v>
      </c>
      <c r="JY36">
        <v>150</v>
      </c>
      <c r="JZ36" t="s">
        <v>796</v>
      </c>
      <c r="KA36" t="s">
        <v>46</v>
      </c>
      <c r="KB36" t="s">
        <v>738</v>
      </c>
      <c r="KC36" t="s">
        <v>1</v>
      </c>
      <c r="KD36" t="s">
        <v>1</v>
      </c>
      <c r="KE36" t="s">
        <v>1</v>
      </c>
      <c r="KF36" t="s">
        <v>1</v>
      </c>
      <c r="KG36" t="s">
        <v>1</v>
      </c>
      <c r="KH36" t="s">
        <v>1</v>
      </c>
      <c r="KI36" t="s">
        <v>1</v>
      </c>
      <c r="KJ36" t="s">
        <v>1</v>
      </c>
      <c r="KK36" t="s">
        <v>1</v>
      </c>
    </row>
    <row r="37" spans="1:297" x14ac:dyDescent="0.2">
      <c r="A37">
        <v>36</v>
      </c>
      <c r="B37" t="s">
        <v>705</v>
      </c>
      <c r="C37" t="s">
        <v>51</v>
      </c>
      <c r="D37" t="s">
        <v>44</v>
      </c>
      <c r="E37">
        <v>5</v>
      </c>
      <c r="F37" t="s">
        <v>1297</v>
      </c>
      <c r="G37" t="s">
        <v>1</v>
      </c>
      <c r="H37" s="26" t="s">
        <v>1420</v>
      </c>
      <c r="I37" t="s">
        <v>1</v>
      </c>
      <c r="J37" t="s">
        <v>1</v>
      </c>
      <c r="K37" t="s">
        <v>1</v>
      </c>
      <c r="L37" t="s">
        <v>1</v>
      </c>
      <c r="M37" t="s">
        <v>1</v>
      </c>
      <c r="N37" t="s">
        <v>1</v>
      </c>
      <c r="O37" t="s">
        <v>1</v>
      </c>
      <c r="P37" t="s">
        <v>1</v>
      </c>
      <c r="Q37" t="s">
        <v>1</v>
      </c>
      <c r="R37" t="s">
        <v>1</v>
      </c>
      <c r="S37" t="s">
        <v>1</v>
      </c>
      <c r="T37" t="s">
        <v>1</v>
      </c>
      <c r="U37" t="s">
        <v>1</v>
      </c>
      <c r="V37" t="s">
        <v>1</v>
      </c>
      <c r="W37" t="s">
        <v>1</v>
      </c>
      <c r="X37" t="s">
        <v>1</v>
      </c>
      <c r="Y37" t="s">
        <v>1</v>
      </c>
      <c r="Z37" t="s">
        <v>1</v>
      </c>
      <c r="AA37" t="s">
        <v>1</v>
      </c>
      <c r="AB37" t="s">
        <v>1</v>
      </c>
      <c r="AC37" t="s">
        <v>1</v>
      </c>
      <c r="AD37" t="s">
        <v>1</v>
      </c>
      <c r="AE37" t="s">
        <v>1</v>
      </c>
      <c r="AF37" t="s">
        <v>1</v>
      </c>
      <c r="AG37" t="s">
        <v>1</v>
      </c>
      <c r="AH37" t="s">
        <v>1</v>
      </c>
      <c r="AI37" t="s">
        <v>1</v>
      </c>
      <c r="AJ37" t="s">
        <v>1</v>
      </c>
      <c r="AK37" t="s">
        <v>1</v>
      </c>
      <c r="AL37" t="s">
        <v>1</v>
      </c>
      <c r="AM37" t="s">
        <v>1</v>
      </c>
      <c r="AN37">
        <v>36</v>
      </c>
      <c r="AO37">
        <f t="shared" si="2"/>
        <v>36</v>
      </c>
      <c r="AP37">
        <f t="shared" si="0"/>
        <v>5</v>
      </c>
      <c r="AQ37">
        <f t="shared" si="1"/>
        <v>5</v>
      </c>
      <c r="AR37" s="26" t="s">
        <v>1355</v>
      </c>
      <c r="AS37" s="26" t="s">
        <v>1356</v>
      </c>
      <c r="AT37" t="s">
        <v>709</v>
      </c>
      <c r="AU37" t="s">
        <v>1</v>
      </c>
      <c r="AV37" t="s">
        <v>1</v>
      </c>
      <c r="AW37">
        <v>55.47</v>
      </c>
      <c r="AX37">
        <v>9.1</v>
      </c>
      <c r="AY37" t="s">
        <v>737</v>
      </c>
      <c r="BA37" s="3">
        <v>1</v>
      </c>
      <c r="BB37" s="3"/>
      <c r="BC37" s="3"/>
      <c r="BD37" s="3"/>
      <c r="BE37" s="3"/>
      <c r="BF37">
        <v>1989</v>
      </c>
      <c r="BG37" s="24" t="s">
        <v>733</v>
      </c>
      <c r="BH37" s="24" t="s">
        <v>733</v>
      </c>
      <c r="BI37" s="24" t="s">
        <v>733</v>
      </c>
      <c r="BJ37" s="24" t="s">
        <v>732</v>
      </c>
      <c r="BK37" s="24" t="s">
        <v>733</v>
      </c>
      <c r="BL37" s="25" t="s">
        <v>733</v>
      </c>
      <c r="BM37" s="24" t="s">
        <v>733</v>
      </c>
      <c r="BN37" s="24" t="s">
        <v>732</v>
      </c>
      <c r="BO37" s="24" t="s">
        <v>733</v>
      </c>
      <c r="BP37" s="24" t="s">
        <v>733</v>
      </c>
      <c r="BQ37" s="24" t="s">
        <v>945</v>
      </c>
      <c r="BR37" s="24" t="s">
        <v>945</v>
      </c>
      <c r="BS37" s="25" t="s">
        <v>934</v>
      </c>
      <c r="BT37" s="24" t="s">
        <v>934</v>
      </c>
      <c r="BU37" s="24" t="s">
        <v>934</v>
      </c>
      <c r="BV37" s="24" t="s">
        <v>934</v>
      </c>
      <c r="BW37" s="24" t="s">
        <v>934</v>
      </c>
      <c r="BX37" s="24" t="s">
        <v>934</v>
      </c>
      <c r="BY37" s="25" t="s">
        <v>945</v>
      </c>
      <c r="BZ37" t="s">
        <v>1398</v>
      </c>
      <c r="CB37" t="s">
        <v>1</v>
      </c>
      <c r="CC37" s="4">
        <f>190*10</f>
        <v>1900</v>
      </c>
      <c r="CD37" s="4"/>
      <c r="CE37" s="4"/>
      <c r="CF37" t="s">
        <v>793</v>
      </c>
      <c r="CG37">
        <v>100</v>
      </c>
      <c r="CH37" t="s">
        <v>805</v>
      </c>
      <c r="CI37" s="28">
        <v>1.5</v>
      </c>
      <c r="CJ37" s="10" t="s">
        <v>1442</v>
      </c>
      <c r="CK37" t="s">
        <v>807</v>
      </c>
      <c r="CL37" s="4">
        <f>200*10</f>
        <v>2000</v>
      </c>
      <c r="CM37" t="s">
        <v>847</v>
      </c>
      <c r="CN37" s="4">
        <f>4.1*10</f>
        <v>41</v>
      </c>
      <c r="CO37" s="4"/>
      <c r="CP37" s="4" t="s">
        <v>1</v>
      </c>
      <c r="CQ37" s="4" t="s">
        <v>1</v>
      </c>
      <c r="CR37" s="4" t="s">
        <v>1</v>
      </c>
      <c r="CS37" s="4" t="s">
        <v>1</v>
      </c>
      <c r="CT37" s="4" t="s">
        <v>1</v>
      </c>
      <c r="CU37" s="4" t="s">
        <v>1</v>
      </c>
      <c r="CV37" t="s">
        <v>855</v>
      </c>
      <c r="CW37">
        <v>100</v>
      </c>
      <c r="CX37">
        <v>0</v>
      </c>
      <c r="CY37">
        <v>30</v>
      </c>
      <c r="CZ37" s="26" t="s">
        <v>1358</v>
      </c>
      <c r="DA37" t="s">
        <v>734</v>
      </c>
      <c r="DB37">
        <v>81.8</v>
      </c>
      <c r="DC37">
        <v>0</v>
      </c>
      <c r="DD37">
        <v>30</v>
      </c>
      <c r="DE37" s="26" t="s">
        <v>1358</v>
      </c>
      <c r="DF37" t="s">
        <v>735</v>
      </c>
      <c r="DG37">
        <v>9.6999999999999993</v>
      </c>
      <c r="DH37">
        <v>0</v>
      </c>
      <c r="DI37">
        <v>30</v>
      </c>
      <c r="DJ37" s="26" t="s">
        <v>1358</v>
      </c>
      <c r="DK37" t="s">
        <v>736</v>
      </c>
      <c r="DL37">
        <v>8.5</v>
      </c>
      <c r="DM37">
        <v>0</v>
      </c>
      <c r="DN37">
        <v>30</v>
      </c>
      <c r="DO37" s="26" t="s">
        <v>1358</v>
      </c>
      <c r="DP37" t="s">
        <v>6</v>
      </c>
      <c r="DQ37" t="s">
        <v>814</v>
      </c>
      <c r="DR37">
        <v>6.5</v>
      </c>
      <c r="DS37">
        <v>0</v>
      </c>
      <c r="DT37">
        <v>30</v>
      </c>
      <c r="DU37" s="26" t="s">
        <v>1358</v>
      </c>
      <c r="EA37" t="s">
        <v>982</v>
      </c>
      <c r="EB37">
        <v>26</v>
      </c>
      <c r="EC37">
        <v>0</v>
      </c>
      <c r="ED37">
        <v>30</v>
      </c>
      <c r="EE37" s="26" t="s">
        <v>1358</v>
      </c>
      <c r="EF37" s="26"/>
      <c r="FZ37" t="s">
        <v>806</v>
      </c>
      <c r="GA37">
        <v>949</v>
      </c>
      <c r="GE37" s="26" t="s">
        <v>1358</v>
      </c>
      <c r="HA37" s="5" t="s">
        <v>1</v>
      </c>
      <c r="HB37" s="4" t="s">
        <v>1</v>
      </c>
      <c r="HC37" t="s">
        <v>1</v>
      </c>
      <c r="HD37" t="s">
        <v>1</v>
      </c>
      <c r="HE37" t="s">
        <v>1</v>
      </c>
      <c r="HF37" s="5" t="s">
        <v>1063</v>
      </c>
      <c r="HG37" s="4">
        <v>2.0399999999999996</v>
      </c>
      <c r="HH37">
        <v>0</v>
      </c>
      <c r="HI37">
        <v>30</v>
      </c>
      <c r="HJ37" s="26" t="s">
        <v>1358</v>
      </c>
      <c r="HK37" t="s">
        <v>815</v>
      </c>
      <c r="HL37" s="34">
        <v>1.55</v>
      </c>
      <c r="HM37">
        <v>0</v>
      </c>
      <c r="HN37">
        <v>30</v>
      </c>
      <c r="HO37" t="s">
        <v>1448</v>
      </c>
      <c r="HP37" s="26" t="s">
        <v>1358</v>
      </c>
      <c r="HZ37" t="s">
        <v>1</v>
      </c>
      <c r="IA37" t="s">
        <v>1</v>
      </c>
      <c r="IB37" s="10" t="s">
        <v>1</v>
      </c>
      <c r="IC37" s="10"/>
      <c r="ID37" s="10"/>
      <c r="IE37" s="10" t="s">
        <v>1</v>
      </c>
      <c r="IF37" s="10" t="s">
        <v>1</v>
      </c>
      <c r="IG37" s="10"/>
      <c r="IH37" s="10"/>
      <c r="II37" s="10"/>
      <c r="IJ37" s="10"/>
      <c r="IK37" s="10"/>
      <c r="IL37" s="10"/>
      <c r="IM37" s="10"/>
      <c r="IN37" s="10"/>
      <c r="IO37" s="10"/>
      <c r="IP37" s="10"/>
      <c r="IQ37" s="10"/>
      <c r="IR37" s="10"/>
      <c r="IS37" t="s">
        <v>1</v>
      </c>
      <c r="IT37" t="s">
        <v>1</v>
      </c>
      <c r="IW37" t="s">
        <v>1</v>
      </c>
      <c r="IX37" t="s">
        <v>1</v>
      </c>
      <c r="IY37" t="s">
        <v>1</v>
      </c>
      <c r="IZ37" t="s">
        <v>1</v>
      </c>
      <c r="JA37" t="s">
        <v>1</v>
      </c>
      <c r="JB37" s="4" t="s">
        <v>1</v>
      </c>
      <c r="JC37" t="s">
        <v>1</v>
      </c>
      <c r="JD37" s="4" t="s">
        <v>1</v>
      </c>
      <c r="JE37" t="s">
        <v>1</v>
      </c>
      <c r="JF37" t="s">
        <v>1</v>
      </c>
      <c r="JR37" t="s">
        <v>1066</v>
      </c>
      <c r="JS37">
        <v>53.1</v>
      </c>
      <c r="JU37" t="s">
        <v>1</v>
      </c>
      <c r="JW37" t="s">
        <v>1</v>
      </c>
      <c r="JX37">
        <v>0</v>
      </c>
      <c r="JY37">
        <v>150</v>
      </c>
      <c r="JZ37" t="s">
        <v>796</v>
      </c>
      <c r="KA37" t="s">
        <v>46</v>
      </c>
      <c r="KB37" t="s">
        <v>738</v>
      </c>
      <c r="KC37" t="s">
        <v>1</v>
      </c>
      <c r="KD37" t="s">
        <v>1</v>
      </c>
      <c r="KE37" t="s">
        <v>1</v>
      </c>
      <c r="KF37" t="s">
        <v>1</v>
      </c>
      <c r="KG37" t="s">
        <v>1</v>
      </c>
      <c r="KH37" t="s">
        <v>1</v>
      </c>
      <c r="KI37" t="s">
        <v>1</v>
      </c>
      <c r="KJ37" t="s">
        <v>1</v>
      </c>
      <c r="KK37" t="s">
        <v>1</v>
      </c>
    </row>
    <row r="38" spans="1:297" x14ac:dyDescent="0.2">
      <c r="A38">
        <v>37</v>
      </c>
      <c r="B38" t="s">
        <v>705</v>
      </c>
      <c r="C38" t="s">
        <v>52</v>
      </c>
      <c r="D38" t="s">
        <v>44</v>
      </c>
      <c r="E38">
        <v>5</v>
      </c>
      <c r="F38" t="s">
        <v>1297</v>
      </c>
      <c r="G38" t="s">
        <v>1</v>
      </c>
      <c r="H38" s="26" t="s">
        <v>1420</v>
      </c>
      <c r="I38" t="s">
        <v>1</v>
      </c>
      <c r="J38" t="s">
        <v>1</v>
      </c>
      <c r="K38" t="s">
        <v>1</v>
      </c>
      <c r="L38" t="s">
        <v>1</v>
      </c>
      <c r="M38" t="s">
        <v>1</v>
      </c>
      <c r="N38" t="s">
        <v>1</v>
      </c>
      <c r="O38" t="s">
        <v>1</v>
      </c>
      <c r="P38" t="s">
        <v>1</v>
      </c>
      <c r="Q38" t="s">
        <v>1</v>
      </c>
      <c r="R38" t="s">
        <v>1</v>
      </c>
      <c r="S38" t="s">
        <v>1</v>
      </c>
      <c r="T38" t="s">
        <v>1</v>
      </c>
      <c r="U38" t="s">
        <v>1</v>
      </c>
      <c r="V38" t="s">
        <v>1</v>
      </c>
      <c r="W38" t="s">
        <v>1</v>
      </c>
      <c r="X38" t="s">
        <v>1</v>
      </c>
      <c r="Y38" t="s">
        <v>1</v>
      </c>
      <c r="Z38" t="s">
        <v>1</v>
      </c>
      <c r="AA38" t="s">
        <v>1</v>
      </c>
      <c r="AB38" t="s">
        <v>1</v>
      </c>
      <c r="AC38" t="s">
        <v>1</v>
      </c>
      <c r="AD38" t="s">
        <v>1</v>
      </c>
      <c r="AE38" t="s">
        <v>1</v>
      </c>
      <c r="AF38" t="s">
        <v>1</v>
      </c>
      <c r="AG38" t="s">
        <v>1</v>
      </c>
      <c r="AH38" t="s">
        <v>1</v>
      </c>
      <c r="AI38" t="s">
        <v>1</v>
      </c>
      <c r="AJ38" t="s">
        <v>1</v>
      </c>
      <c r="AK38" t="s">
        <v>1</v>
      </c>
      <c r="AL38" t="s">
        <v>1</v>
      </c>
      <c r="AM38" t="s">
        <v>1</v>
      </c>
      <c r="AN38">
        <v>37</v>
      </c>
      <c r="AO38">
        <f t="shared" si="2"/>
        <v>37</v>
      </c>
      <c r="AP38">
        <f t="shared" si="0"/>
        <v>5</v>
      </c>
      <c r="AQ38">
        <f t="shared" si="1"/>
        <v>5</v>
      </c>
      <c r="AR38" s="26" t="s">
        <v>1355</v>
      </c>
      <c r="AS38" s="26" t="s">
        <v>1356</v>
      </c>
      <c r="AT38" t="s">
        <v>709</v>
      </c>
      <c r="AU38" t="s">
        <v>1</v>
      </c>
      <c r="AV38" t="s">
        <v>1</v>
      </c>
      <c r="AW38">
        <v>55.47</v>
      </c>
      <c r="AX38">
        <v>9.1</v>
      </c>
      <c r="AY38" t="s">
        <v>737</v>
      </c>
      <c r="BA38" s="3">
        <v>1</v>
      </c>
      <c r="BB38" s="3"/>
      <c r="BC38" s="3"/>
      <c r="BD38" s="3"/>
      <c r="BE38" s="3"/>
      <c r="BF38">
        <v>1989</v>
      </c>
      <c r="BG38" s="24" t="s">
        <v>733</v>
      </c>
      <c r="BH38" s="24" t="s">
        <v>733</v>
      </c>
      <c r="BI38" s="24" t="s">
        <v>733</v>
      </c>
      <c r="BJ38" s="24" t="s">
        <v>732</v>
      </c>
      <c r="BK38" s="24" t="s">
        <v>733</v>
      </c>
      <c r="BL38" s="25" t="s">
        <v>733</v>
      </c>
      <c r="BM38" s="24" t="s">
        <v>733</v>
      </c>
      <c r="BN38" s="24" t="s">
        <v>732</v>
      </c>
      <c r="BO38" s="24" t="s">
        <v>733</v>
      </c>
      <c r="BP38" s="24" t="s">
        <v>733</v>
      </c>
      <c r="BQ38" s="24" t="s">
        <v>945</v>
      </c>
      <c r="BR38" s="24" t="s">
        <v>945</v>
      </c>
      <c r="BS38" s="25" t="s">
        <v>934</v>
      </c>
      <c r="BT38" s="24" t="s">
        <v>934</v>
      </c>
      <c r="BU38" s="24" t="s">
        <v>934</v>
      </c>
      <c r="BV38" s="24" t="s">
        <v>934</v>
      </c>
      <c r="BW38" s="24" t="s">
        <v>934</v>
      </c>
      <c r="BX38" s="24" t="s">
        <v>934</v>
      </c>
      <c r="BY38" s="25" t="s">
        <v>945</v>
      </c>
      <c r="BZ38" t="s">
        <v>1398</v>
      </c>
      <c r="CB38" t="s">
        <v>1</v>
      </c>
      <c r="CC38" s="4">
        <f>448*10</f>
        <v>4480</v>
      </c>
      <c r="CD38" s="4"/>
      <c r="CE38" s="4"/>
      <c r="CF38" t="s">
        <v>793</v>
      </c>
      <c r="CG38">
        <v>100</v>
      </c>
      <c r="CH38" t="s">
        <v>805</v>
      </c>
      <c r="CI38" s="28">
        <v>1.5</v>
      </c>
      <c r="CJ38" s="10" t="s">
        <v>1442</v>
      </c>
      <c r="CK38" t="s">
        <v>807</v>
      </c>
      <c r="CL38" s="4">
        <f>434*10</f>
        <v>4340</v>
      </c>
      <c r="CM38" t="s">
        <v>847</v>
      </c>
      <c r="CN38" s="15">
        <f>9.2*10</f>
        <v>92</v>
      </c>
      <c r="CO38" s="15"/>
      <c r="CP38" s="4" t="s">
        <v>1</v>
      </c>
      <c r="CQ38" s="4" t="s">
        <v>1</v>
      </c>
      <c r="CR38" s="4" t="s">
        <v>1</v>
      </c>
      <c r="CS38" s="4" t="s">
        <v>1</v>
      </c>
      <c r="CT38" s="4" t="s">
        <v>1</v>
      </c>
      <c r="CU38" s="4" t="s">
        <v>1</v>
      </c>
      <c r="CV38" t="s">
        <v>855</v>
      </c>
      <c r="CW38">
        <v>100</v>
      </c>
      <c r="CX38">
        <v>0</v>
      </c>
      <c r="CY38">
        <v>30</v>
      </c>
      <c r="CZ38" s="26" t="s">
        <v>1358</v>
      </c>
      <c r="DA38" t="s">
        <v>734</v>
      </c>
      <c r="DB38">
        <v>81.8</v>
      </c>
      <c r="DC38">
        <v>0</v>
      </c>
      <c r="DD38">
        <v>30</v>
      </c>
      <c r="DE38" s="26" t="s">
        <v>1358</v>
      </c>
      <c r="DF38" t="s">
        <v>735</v>
      </c>
      <c r="DG38">
        <v>9.6999999999999993</v>
      </c>
      <c r="DH38">
        <v>0</v>
      </c>
      <c r="DI38">
        <v>30</v>
      </c>
      <c r="DJ38" s="26" t="s">
        <v>1358</v>
      </c>
      <c r="DK38" t="s">
        <v>736</v>
      </c>
      <c r="DL38">
        <v>8.5</v>
      </c>
      <c r="DM38">
        <v>0</v>
      </c>
      <c r="DN38">
        <v>30</v>
      </c>
      <c r="DO38" s="26" t="s">
        <v>1358</v>
      </c>
      <c r="DP38" t="s">
        <v>6</v>
      </c>
      <c r="DQ38" t="s">
        <v>814</v>
      </c>
      <c r="DR38">
        <v>6.5</v>
      </c>
      <c r="DS38">
        <v>0</v>
      </c>
      <c r="DT38">
        <v>30</v>
      </c>
      <c r="DU38" s="26" t="s">
        <v>1358</v>
      </c>
      <c r="EA38" t="s">
        <v>982</v>
      </c>
      <c r="EB38">
        <v>26</v>
      </c>
      <c r="EC38">
        <v>0</v>
      </c>
      <c r="ED38">
        <v>30</v>
      </c>
      <c r="EE38" s="26" t="s">
        <v>1358</v>
      </c>
      <c r="EF38" s="26"/>
      <c r="FZ38" t="s">
        <v>806</v>
      </c>
      <c r="GA38">
        <v>949</v>
      </c>
      <c r="GE38" s="26" t="s">
        <v>1358</v>
      </c>
      <c r="HA38" s="5" t="s">
        <v>1</v>
      </c>
      <c r="HB38" s="4" t="s">
        <v>1</v>
      </c>
      <c r="HC38" t="s">
        <v>1</v>
      </c>
      <c r="HD38" t="s">
        <v>1</v>
      </c>
      <c r="HE38" t="s">
        <v>1</v>
      </c>
      <c r="HF38" s="5" t="s">
        <v>1063</v>
      </c>
      <c r="HG38" s="4">
        <v>2.0399999999999996</v>
      </c>
      <c r="HH38">
        <v>0</v>
      </c>
      <c r="HI38">
        <v>30</v>
      </c>
      <c r="HJ38" s="26" t="s">
        <v>1358</v>
      </c>
      <c r="HK38" t="s">
        <v>815</v>
      </c>
      <c r="HL38" s="34">
        <v>1.55</v>
      </c>
      <c r="HM38">
        <v>0</v>
      </c>
      <c r="HN38">
        <v>30</v>
      </c>
      <c r="HO38" t="s">
        <v>1448</v>
      </c>
      <c r="HP38" s="26" t="s">
        <v>1358</v>
      </c>
      <c r="HZ38" t="s">
        <v>968</v>
      </c>
      <c r="IA38">
        <v>110</v>
      </c>
      <c r="IB38" s="10" t="s">
        <v>1</v>
      </c>
      <c r="IC38" s="10"/>
      <c r="ID38" s="10"/>
      <c r="IE38" s="10" t="s">
        <v>1</v>
      </c>
      <c r="IF38" s="10" t="s">
        <v>1</v>
      </c>
      <c r="IG38" s="10"/>
      <c r="IH38" s="10"/>
      <c r="II38" s="10"/>
      <c r="IJ38" s="10"/>
      <c r="IK38" s="10"/>
      <c r="IL38" s="10"/>
      <c r="IM38" s="10"/>
      <c r="IN38" s="10"/>
      <c r="IO38" s="10"/>
      <c r="IP38" s="10"/>
      <c r="IQ38" s="10"/>
      <c r="IR38" s="10"/>
      <c r="IS38" t="s">
        <v>1</v>
      </c>
      <c r="IT38" t="s">
        <v>1</v>
      </c>
      <c r="IW38" t="s">
        <v>1</v>
      </c>
      <c r="IX38" t="s">
        <v>1</v>
      </c>
      <c r="IY38" t="s">
        <v>1</v>
      </c>
      <c r="IZ38" t="s">
        <v>1</v>
      </c>
      <c r="JA38" t="s">
        <v>1</v>
      </c>
      <c r="JB38" s="4" t="s">
        <v>1</v>
      </c>
      <c r="JC38" t="s">
        <v>1</v>
      </c>
      <c r="JD38" s="4" t="s">
        <v>1</v>
      </c>
      <c r="JE38" t="s">
        <v>1</v>
      </c>
      <c r="JF38" t="s">
        <v>1</v>
      </c>
      <c r="JR38" t="s">
        <v>1066</v>
      </c>
      <c r="JS38">
        <v>57.5</v>
      </c>
      <c r="JU38" t="s">
        <v>1</v>
      </c>
      <c r="JW38" t="s">
        <v>1</v>
      </c>
      <c r="JX38">
        <v>0</v>
      </c>
      <c r="JY38">
        <v>150</v>
      </c>
      <c r="JZ38" t="s">
        <v>796</v>
      </c>
      <c r="KA38" t="s">
        <v>46</v>
      </c>
      <c r="KB38" t="s">
        <v>738</v>
      </c>
      <c r="KC38" t="s">
        <v>1</v>
      </c>
      <c r="KD38" t="s">
        <v>1</v>
      </c>
      <c r="KE38" t="s">
        <v>1</v>
      </c>
      <c r="KF38" t="s">
        <v>1</v>
      </c>
      <c r="KG38" t="s">
        <v>1</v>
      </c>
      <c r="KH38" t="s">
        <v>1</v>
      </c>
      <c r="KI38" t="s">
        <v>1</v>
      </c>
      <c r="KJ38" t="s">
        <v>1</v>
      </c>
      <c r="KK38" t="s">
        <v>1</v>
      </c>
    </row>
    <row r="39" spans="1:297" x14ac:dyDescent="0.2">
      <c r="A39">
        <v>38</v>
      </c>
      <c r="B39" t="s">
        <v>705</v>
      </c>
      <c r="C39" t="s">
        <v>53</v>
      </c>
      <c r="D39" t="s">
        <v>44</v>
      </c>
      <c r="E39">
        <v>5</v>
      </c>
      <c r="F39" t="s">
        <v>1297</v>
      </c>
      <c r="G39" t="s">
        <v>1</v>
      </c>
      <c r="H39" s="26" t="s">
        <v>1420</v>
      </c>
      <c r="I39" t="s">
        <v>1</v>
      </c>
      <c r="J39" t="s">
        <v>1</v>
      </c>
      <c r="K39" t="s">
        <v>1</v>
      </c>
      <c r="L39" t="s">
        <v>1</v>
      </c>
      <c r="M39" t="s">
        <v>1</v>
      </c>
      <c r="N39" t="s">
        <v>1</v>
      </c>
      <c r="O39" t="s">
        <v>1</v>
      </c>
      <c r="P39" t="s">
        <v>1</v>
      </c>
      <c r="Q39" t="s">
        <v>1</v>
      </c>
      <c r="R39" t="s">
        <v>1</v>
      </c>
      <c r="S39" t="s">
        <v>1</v>
      </c>
      <c r="T39" t="s">
        <v>1</v>
      </c>
      <c r="U39" t="s">
        <v>1</v>
      </c>
      <c r="V39" t="s">
        <v>1</v>
      </c>
      <c r="W39" t="s">
        <v>1</v>
      </c>
      <c r="X39" t="s">
        <v>1</v>
      </c>
      <c r="Y39" t="s">
        <v>1</v>
      </c>
      <c r="Z39" t="s">
        <v>1</v>
      </c>
      <c r="AA39" t="s">
        <v>1</v>
      </c>
      <c r="AB39" t="s">
        <v>1</v>
      </c>
      <c r="AC39" t="s">
        <v>1</v>
      </c>
      <c r="AD39" t="s">
        <v>1</v>
      </c>
      <c r="AE39" t="s">
        <v>1</v>
      </c>
      <c r="AF39" t="s">
        <v>1</v>
      </c>
      <c r="AG39" t="s">
        <v>1</v>
      </c>
      <c r="AH39" t="s">
        <v>1</v>
      </c>
      <c r="AI39" t="s">
        <v>1</v>
      </c>
      <c r="AJ39" t="s">
        <v>1</v>
      </c>
      <c r="AK39" t="s">
        <v>1</v>
      </c>
      <c r="AL39" t="s">
        <v>1</v>
      </c>
      <c r="AM39" t="s">
        <v>1</v>
      </c>
      <c r="AN39">
        <v>38</v>
      </c>
      <c r="AO39">
        <f t="shared" si="2"/>
        <v>38</v>
      </c>
      <c r="AP39">
        <f t="shared" si="0"/>
        <v>5</v>
      </c>
      <c r="AQ39">
        <f t="shared" si="1"/>
        <v>5</v>
      </c>
      <c r="AR39" s="26" t="s">
        <v>1355</v>
      </c>
      <c r="AS39" s="26" t="s">
        <v>1356</v>
      </c>
      <c r="AT39" t="s">
        <v>709</v>
      </c>
      <c r="AU39" t="s">
        <v>1</v>
      </c>
      <c r="AV39" t="s">
        <v>1</v>
      </c>
      <c r="AW39">
        <v>55.47</v>
      </c>
      <c r="AX39">
        <v>9.1</v>
      </c>
      <c r="AY39" t="s">
        <v>737</v>
      </c>
      <c r="BA39" s="3">
        <v>1</v>
      </c>
      <c r="BB39" s="3"/>
      <c r="BC39" s="3"/>
      <c r="BD39" s="3"/>
      <c r="BE39" s="3"/>
      <c r="BF39">
        <v>1989</v>
      </c>
      <c r="BG39" s="24" t="s">
        <v>733</v>
      </c>
      <c r="BH39" s="24" t="s">
        <v>733</v>
      </c>
      <c r="BI39" s="24" t="s">
        <v>733</v>
      </c>
      <c r="BJ39" s="24" t="s">
        <v>732</v>
      </c>
      <c r="BK39" s="24" t="s">
        <v>733</v>
      </c>
      <c r="BL39" s="25" t="s">
        <v>733</v>
      </c>
      <c r="BM39" s="24" t="s">
        <v>733</v>
      </c>
      <c r="BN39" s="24" t="s">
        <v>732</v>
      </c>
      <c r="BO39" s="24" t="s">
        <v>733</v>
      </c>
      <c r="BP39" s="24" t="s">
        <v>733</v>
      </c>
      <c r="BQ39" s="24" t="s">
        <v>945</v>
      </c>
      <c r="BR39" s="24" t="s">
        <v>945</v>
      </c>
      <c r="BS39" s="25" t="s">
        <v>934</v>
      </c>
      <c r="BT39" s="24" t="s">
        <v>934</v>
      </c>
      <c r="BU39" s="24" t="s">
        <v>934</v>
      </c>
      <c r="BV39" s="24" t="s">
        <v>934</v>
      </c>
      <c r="BW39" s="24" t="s">
        <v>934</v>
      </c>
      <c r="BX39" s="24" t="s">
        <v>934</v>
      </c>
      <c r="BY39" s="25" t="s">
        <v>945</v>
      </c>
      <c r="BZ39" t="s">
        <v>1398</v>
      </c>
      <c r="CB39" t="s">
        <v>1</v>
      </c>
      <c r="CC39" s="4">
        <f>572*10</f>
        <v>5720</v>
      </c>
      <c r="CD39" s="4"/>
      <c r="CE39" s="4"/>
      <c r="CF39" t="s">
        <v>793</v>
      </c>
      <c r="CG39">
        <v>100</v>
      </c>
      <c r="CH39" t="s">
        <v>805</v>
      </c>
      <c r="CI39" s="28">
        <v>1.5</v>
      </c>
      <c r="CJ39" s="10" t="s">
        <v>1442</v>
      </c>
      <c r="CK39" t="s">
        <v>807</v>
      </c>
      <c r="CL39" s="4">
        <f>574*10</f>
        <v>5740</v>
      </c>
      <c r="CM39" t="s">
        <v>847</v>
      </c>
      <c r="CN39" s="15">
        <f>14*10</f>
        <v>140</v>
      </c>
      <c r="CO39" s="15"/>
      <c r="CP39" s="4" t="s">
        <v>1</v>
      </c>
      <c r="CQ39" s="4" t="s">
        <v>1</v>
      </c>
      <c r="CR39" s="4" t="s">
        <v>1</v>
      </c>
      <c r="CS39" s="4" t="s">
        <v>1</v>
      </c>
      <c r="CT39" s="4" t="s">
        <v>1</v>
      </c>
      <c r="CU39" s="4" t="s">
        <v>1</v>
      </c>
      <c r="CV39" t="s">
        <v>855</v>
      </c>
      <c r="CW39">
        <v>100</v>
      </c>
      <c r="CX39">
        <v>0</v>
      </c>
      <c r="CY39">
        <v>30</v>
      </c>
      <c r="CZ39" s="26" t="s">
        <v>1358</v>
      </c>
      <c r="DA39" t="s">
        <v>734</v>
      </c>
      <c r="DB39">
        <v>81.8</v>
      </c>
      <c r="DC39">
        <v>0</v>
      </c>
      <c r="DD39">
        <v>30</v>
      </c>
      <c r="DE39" s="26" t="s">
        <v>1358</v>
      </c>
      <c r="DF39" t="s">
        <v>735</v>
      </c>
      <c r="DG39">
        <v>9.6999999999999993</v>
      </c>
      <c r="DH39">
        <v>0</v>
      </c>
      <c r="DI39">
        <v>30</v>
      </c>
      <c r="DJ39" s="26" t="s">
        <v>1358</v>
      </c>
      <c r="DK39" t="s">
        <v>736</v>
      </c>
      <c r="DL39">
        <v>8.5</v>
      </c>
      <c r="DM39">
        <v>0</v>
      </c>
      <c r="DN39">
        <v>30</v>
      </c>
      <c r="DO39" s="26" t="s">
        <v>1358</v>
      </c>
      <c r="DP39" t="s">
        <v>6</v>
      </c>
      <c r="DQ39" t="s">
        <v>814</v>
      </c>
      <c r="DR39">
        <v>6.5</v>
      </c>
      <c r="DS39">
        <v>0</v>
      </c>
      <c r="DT39">
        <v>30</v>
      </c>
      <c r="DU39" s="26" t="s">
        <v>1358</v>
      </c>
      <c r="EA39" t="s">
        <v>982</v>
      </c>
      <c r="EB39">
        <v>26</v>
      </c>
      <c r="EC39">
        <v>0</v>
      </c>
      <c r="ED39">
        <v>30</v>
      </c>
      <c r="EE39" s="26" t="s">
        <v>1358</v>
      </c>
      <c r="EF39" s="26"/>
      <c r="FZ39" t="s">
        <v>806</v>
      </c>
      <c r="GA39">
        <v>949</v>
      </c>
      <c r="GE39" s="26" t="s">
        <v>1358</v>
      </c>
      <c r="HA39" s="5" t="s">
        <v>1</v>
      </c>
      <c r="HB39" s="4" t="s">
        <v>1</v>
      </c>
      <c r="HC39" t="s">
        <v>1</v>
      </c>
      <c r="HD39" t="s">
        <v>1</v>
      </c>
      <c r="HE39" t="s">
        <v>1</v>
      </c>
      <c r="HF39" s="5" t="s">
        <v>1063</v>
      </c>
      <c r="HG39" s="4">
        <v>2.0399999999999996</v>
      </c>
      <c r="HH39">
        <v>0</v>
      </c>
      <c r="HI39">
        <v>30</v>
      </c>
      <c r="HJ39" s="26" t="s">
        <v>1358</v>
      </c>
      <c r="HK39" t="s">
        <v>815</v>
      </c>
      <c r="HL39" s="34">
        <v>1.55</v>
      </c>
      <c r="HM39">
        <v>0</v>
      </c>
      <c r="HN39">
        <v>30</v>
      </c>
      <c r="HO39" t="s">
        <v>1448</v>
      </c>
      <c r="HP39" s="26" t="s">
        <v>1358</v>
      </c>
      <c r="HZ39" t="s">
        <v>968</v>
      </c>
      <c r="IA39">
        <v>165</v>
      </c>
      <c r="IB39" s="10" t="s">
        <v>1</v>
      </c>
      <c r="IC39" s="10"/>
      <c r="ID39" s="10"/>
      <c r="IE39" s="10" t="s">
        <v>1</v>
      </c>
      <c r="IF39" s="10" t="s">
        <v>1</v>
      </c>
      <c r="IG39" s="10"/>
      <c r="IH39" s="10"/>
      <c r="II39" s="10"/>
      <c r="IJ39" s="10"/>
      <c r="IK39" s="10"/>
      <c r="IL39" s="10"/>
      <c r="IM39" s="10"/>
      <c r="IN39" s="10"/>
      <c r="IO39" s="10"/>
      <c r="IP39" s="10"/>
      <c r="IQ39" s="10"/>
      <c r="IR39" s="10"/>
      <c r="IS39" t="s">
        <v>1</v>
      </c>
      <c r="IT39" t="s">
        <v>1</v>
      </c>
      <c r="IW39" t="s">
        <v>1</v>
      </c>
      <c r="IX39" t="s">
        <v>1</v>
      </c>
      <c r="IY39" t="s">
        <v>1</v>
      </c>
      <c r="IZ39" t="s">
        <v>1</v>
      </c>
      <c r="JA39" t="s">
        <v>1</v>
      </c>
      <c r="JB39" s="4" t="s">
        <v>1</v>
      </c>
      <c r="JC39" t="s">
        <v>1</v>
      </c>
      <c r="JD39" s="4" t="s">
        <v>1</v>
      </c>
      <c r="JE39" t="s">
        <v>1</v>
      </c>
      <c r="JF39" t="s">
        <v>1</v>
      </c>
      <c r="JR39" t="s">
        <v>1066</v>
      </c>
      <c r="JS39">
        <v>115.1</v>
      </c>
      <c r="JU39" t="s">
        <v>1</v>
      </c>
      <c r="JW39" t="s">
        <v>1</v>
      </c>
      <c r="JX39">
        <v>0</v>
      </c>
      <c r="JY39">
        <v>150</v>
      </c>
      <c r="JZ39" t="s">
        <v>796</v>
      </c>
      <c r="KA39" t="s">
        <v>46</v>
      </c>
      <c r="KB39" t="s">
        <v>738</v>
      </c>
      <c r="KC39" t="s">
        <v>1</v>
      </c>
      <c r="KD39" t="s">
        <v>1</v>
      </c>
      <c r="KE39" t="s">
        <v>1</v>
      </c>
      <c r="KF39" t="s">
        <v>1</v>
      </c>
      <c r="KG39" t="s">
        <v>1</v>
      </c>
      <c r="KH39" t="s">
        <v>1</v>
      </c>
      <c r="KI39" t="s">
        <v>1</v>
      </c>
      <c r="KJ39" t="s">
        <v>1</v>
      </c>
      <c r="KK39" t="s">
        <v>1</v>
      </c>
    </row>
    <row r="40" spans="1:297" x14ac:dyDescent="0.2">
      <c r="A40">
        <v>39</v>
      </c>
      <c r="B40" t="s">
        <v>705</v>
      </c>
      <c r="C40" t="s">
        <v>54</v>
      </c>
      <c r="D40" t="s">
        <v>44</v>
      </c>
      <c r="E40">
        <v>5</v>
      </c>
      <c r="F40" t="s">
        <v>1297</v>
      </c>
      <c r="G40" t="s">
        <v>1</v>
      </c>
      <c r="H40" s="26" t="s">
        <v>1420</v>
      </c>
      <c r="I40" t="s">
        <v>1</v>
      </c>
      <c r="J40" t="s">
        <v>1</v>
      </c>
      <c r="K40" t="s">
        <v>1</v>
      </c>
      <c r="L40" t="s">
        <v>1</v>
      </c>
      <c r="M40" t="s">
        <v>1</v>
      </c>
      <c r="N40" t="s">
        <v>1</v>
      </c>
      <c r="O40" t="s">
        <v>1</v>
      </c>
      <c r="P40" t="s">
        <v>1</v>
      </c>
      <c r="Q40" t="s">
        <v>1</v>
      </c>
      <c r="R40" t="s">
        <v>1</v>
      </c>
      <c r="S40" t="s">
        <v>1</v>
      </c>
      <c r="T40" t="s">
        <v>1</v>
      </c>
      <c r="U40" t="s">
        <v>1</v>
      </c>
      <c r="V40" t="s">
        <v>1</v>
      </c>
      <c r="W40" t="s">
        <v>1</v>
      </c>
      <c r="X40" t="s">
        <v>1</v>
      </c>
      <c r="Y40" t="s">
        <v>1</v>
      </c>
      <c r="Z40" t="s">
        <v>1</v>
      </c>
      <c r="AA40" t="s">
        <v>1</v>
      </c>
      <c r="AB40" t="s">
        <v>1</v>
      </c>
      <c r="AC40" t="s">
        <v>1</v>
      </c>
      <c r="AD40" t="s">
        <v>1</v>
      </c>
      <c r="AE40" t="s">
        <v>1</v>
      </c>
      <c r="AF40" t="s">
        <v>1</v>
      </c>
      <c r="AG40" t="s">
        <v>1</v>
      </c>
      <c r="AH40" t="s">
        <v>1</v>
      </c>
      <c r="AI40" t="s">
        <v>1</v>
      </c>
      <c r="AJ40" t="s">
        <v>1</v>
      </c>
      <c r="AK40" t="s">
        <v>1</v>
      </c>
      <c r="AL40" t="s">
        <v>1</v>
      </c>
      <c r="AM40" t="s">
        <v>1</v>
      </c>
      <c r="AN40">
        <v>39</v>
      </c>
      <c r="AO40">
        <f t="shared" si="2"/>
        <v>39</v>
      </c>
      <c r="AP40">
        <f t="shared" si="0"/>
        <v>5</v>
      </c>
      <c r="AQ40">
        <f t="shared" si="1"/>
        <v>5</v>
      </c>
      <c r="AR40" s="26" t="s">
        <v>1355</v>
      </c>
      <c r="AS40" s="26" t="s">
        <v>1356</v>
      </c>
      <c r="AT40" t="s">
        <v>709</v>
      </c>
      <c r="AU40" t="s">
        <v>1</v>
      </c>
      <c r="AV40" t="s">
        <v>1</v>
      </c>
      <c r="AW40">
        <v>55.47</v>
      </c>
      <c r="AX40">
        <v>9.1</v>
      </c>
      <c r="AY40" t="s">
        <v>737</v>
      </c>
      <c r="BA40" s="3">
        <v>1</v>
      </c>
      <c r="BB40" s="3"/>
      <c r="BC40" s="3"/>
      <c r="BD40" s="3"/>
      <c r="BE40" s="3"/>
      <c r="BF40">
        <v>1989</v>
      </c>
      <c r="BG40" s="24" t="s">
        <v>733</v>
      </c>
      <c r="BH40" s="24" t="s">
        <v>733</v>
      </c>
      <c r="BI40" s="24" t="s">
        <v>733</v>
      </c>
      <c r="BJ40" s="24" t="s">
        <v>732</v>
      </c>
      <c r="BK40" s="24" t="s">
        <v>733</v>
      </c>
      <c r="BL40" s="25" t="s">
        <v>733</v>
      </c>
      <c r="BM40" s="24" t="s">
        <v>733</v>
      </c>
      <c r="BN40" s="24" t="s">
        <v>732</v>
      </c>
      <c r="BO40" s="24" t="s">
        <v>733</v>
      </c>
      <c r="BP40" s="24" t="s">
        <v>733</v>
      </c>
      <c r="BQ40" s="24" t="s">
        <v>945</v>
      </c>
      <c r="BR40" s="24" t="s">
        <v>945</v>
      </c>
      <c r="BS40" s="25" t="s">
        <v>934</v>
      </c>
      <c r="BT40" s="24" t="s">
        <v>934</v>
      </c>
      <c r="BU40" s="24" t="s">
        <v>934</v>
      </c>
      <c r="BV40" s="24" t="s">
        <v>934</v>
      </c>
      <c r="BW40" s="24" t="s">
        <v>934</v>
      </c>
      <c r="BX40" s="24" t="s">
        <v>934</v>
      </c>
      <c r="BY40" s="25" t="s">
        <v>945</v>
      </c>
      <c r="BZ40" t="s">
        <v>1398</v>
      </c>
      <c r="CB40" t="s">
        <v>1</v>
      </c>
      <c r="CC40" s="4">
        <f>368*10</f>
        <v>3680</v>
      </c>
      <c r="CD40" s="4"/>
      <c r="CE40" s="4"/>
      <c r="CF40" t="s">
        <v>793</v>
      </c>
      <c r="CG40">
        <v>100</v>
      </c>
      <c r="CH40" t="s">
        <v>805</v>
      </c>
      <c r="CI40" s="28">
        <v>1.5</v>
      </c>
      <c r="CJ40" s="10" t="s">
        <v>1442</v>
      </c>
      <c r="CK40" t="s">
        <v>807</v>
      </c>
      <c r="CL40" s="4">
        <f>425*10</f>
        <v>4250</v>
      </c>
      <c r="CM40" t="s">
        <v>847</v>
      </c>
      <c r="CN40" s="15">
        <f>8.9*10</f>
        <v>89</v>
      </c>
      <c r="CO40" s="15"/>
      <c r="CP40" s="4" t="s">
        <v>1</v>
      </c>
      <c r="CQ40" s="4" t="s">
        <v>1</v>
      </c>
      <c r="CR40" s="4" t="s">
        <v>1</v>
      </c>
      <c r="CS40" s="4" t="s">
        <v>1</v>
      </c>
      <c r="CT40" s="4" t="s">
        <v>1</v>
      </c>
      <c r="CU40" s="4" t="s">
        <v>1</v>
      </c>
      <c r="CV40" t="s">
        <v>855</v>
      </c>
      <c r="CW40">
        <v>100</v>
      </c>
      <c r="CX40">
        <v>0</v>
      </c>
      <c r="CY40">
        <v>30</v>
      </c>
      <c r="CZ40" s="26" t="s">
        <v>1358</v>
      </c>
      <c r="DA40" t="s">
        <v>734</v>
      </c>
      <c r="DB40">
        <v>81.8</v>
      </c>
      <c r="DC40">
        <v>0</v>
      </c>
      <c r="DD40">
        <v>30</v>
      </c>
      <c r="DE40" s="26" t="s">
        <v>1358</v>
      </c>
      <c r="DF40" t="s">
        <v>735</v>
      </c>
      <c r="DG40">
        <v>9.6999999999999993</v>
      </c>
      <c r="DH40">
        <v>0</v>
      </c>
      <c r="DI40">
        <v>30</v>
      </c>
      <c r="DJ40" s="26" t="s">
        <v>1358</v>
      </c>
      <c r="DK40" t="s">
        <v>736</v>
      </c>
      <c r="DL40">
        <v>8.5</v>
      </c>
      <c r="DM40">
        <v>0</v>
      </c>
      <c r="DN40">
        <v>30</v>
      </c>
      <c r="DO40" s="26" t="s">
        <v>1358</v>
      </c>
      <c r="DP40" t="s">
        <v>6</v>
      </c>
      <c r="DQ40" t="s">
        <v>814</v>
      </c>
      <c r="DR40">
        <v>6.5</v>
      </c>
      <c r="DS40">
        <v>0</v>
      </c>
      <c r="DT40">
        <v>30</v>
      </c>
      <c r="DU40" s="26" t="s">
        <v>1358</v>
      </c>
      <c r="EA40" t="s">
        <v>982</v>
      </c>
      <c r="EB40">
        <v>26</v>
      </c>
      <c r="EC40">
        <v>0</v>
      </c>
      <c r="ED40">
        <v>30</v>
      </c>
      <c r="EE40" s="26" t="s">
        <v>1358</v>
      </c>
      <c r="EF40" s="26"/>
      <c r="FZ40" t="s">
        <v>806</v>
      </c>
      <c r="GA40">
        <v>949</v>
      </c>
      <c r="GE40" s="26" t="s">
        <v>1358</v>
      </c>
      <c r="HA40" s="5" t="s">
        <v>1</v>
      </c>
      <c r="HB40" s="4" t="s">
        <v>1</v>
      </c>
      <c r="HC40" t="s">
        <v>1</v>
      </c>
      <c r="HD40" t="s">
        <v>1</v>
      </c>
      <c r="HE40" t="s">
        <v>1</v>
      </c>
      <c r="HF40" s="5" t="s">
        <v>1063</v>
      </c>
      <c r="HG40" s="4">
        <v>2.0399999999999996</v>
      </c>
      <c r="HH40">
        <v>0</v>
      </c>
      <c r="HI40">
        <v>30</v>
      </c>
      <c r="HJ40" s="26" t="s">
        <v>1358</v>
      </c>
      <c r="HK40" t="s">
        <v>815</v>
      </c>
      <c r="HL40" s="34">
        <v>1.55</v>
      </c>
      <c r="HM40">
        <v>0</v>
      </c>
      <c r="HN40">
        <v>30</v>
      </c>
      <c r="HO40" t="s">
        <v>1448</v>
      </c>
      <c r="HP40" s="26" t="s">
        <v>1358</v>
      </c>
      <c r="HZ40" t="s">
        <v>1</v>
      </c>
      <c r="IA40" t="s">
        <v>1</v>
      </c>
      <c r="IB40" s="10" t="s">
        <v>1</v>
      </c>
      <c r="IC40" s="10"/>
      <c r="ID40" s="10"/>
      <c r="IE40" s="10" t="s">
        <v>1</v>
      </c>
      <c r="IF40" s="10" t="s">
        <v>1</v>
      </c>
      <c r="IG40" s="10"/>
      <c r="IH40" s="10"/>
      <c r="II40" s="10"/>
      <c r="IJ40" s="10"/>
      <c r="IK40" s="10"/>
      <c r="IL40" s="10"/>
      <c r="IM40" s="10"/>
      <c r="IN40" s="10"/>
      <c r="IO40" s="10"/>
      <c r="IP40" s="10"/>
      <c r="IQ40" s="10"/>
      <c r="IR40" s="10"/>
      <c r="IS40" t="s">
        <v>1</v>
      </c>
      <c r="IT40" t="s">
        <v>1</v>
      </c>
      <c r="IW40" t="s">
        <v>979</v>
      </c>
      <c r="IX40">
        <v>155</v>
      </c>
      <c r="IY40" t="s">
        <v>1</v>
      </c>
      <c r="IZ40" t="s">
        <v>1</v>
      </c>
      <c r="JA40" t="s">
        <v>1</v>
      </c>
      <c r="JB40" s="4" t="s">
        <v>1</v>
      </c>
      <c r="JC40" t="s">
        <v>1</v>
      </c>
      <c r="JD40" s="4" t="s">
        <v>1</v>
      </c>
      <c r="JE40" t="s">
        <v>1</v>
      </c>
      <c r="JF40" t="s">
        <v>1</v>
      </c>
      <c r="JR40" t="s">
        <v>1066</v>
      </c>
      <c r="JS40">
        <v>132.80000000000001</v>
      </c>
      <c r="JU40" t="s">
        <v>1</v>
      </c>
      <c r="JW40" t="s">
        <v>1</v>
      </c>
      <c r="JX40">
        <v>0</v>
      </c>
      <c r="JY40">
        <v>150</v>
      </c>
      <c r="JZ40" t="s">
        <v>796</v>
      </c>
      <c r="KA40" t="s">
        <v>46</v>
      </c>
      <c r="KB40" t="s">
        <v>738</v>
      </c>
      <c r="KC40" t="s">
        <v>1</v>
      </c>
      <c r="KD40" t="s">
        <v>1</v>
      </c>
      <c r="KE40" t="s">
        <v>1</v>
      </c>
      <c r="KF40" t="s">
        <v>1</v>
      </c>
      <c r="KG40" t="s">
        <v>1</v>
      </c>
      <c r="KH40" t="s">
        <v>1</v>
      </c>
      <c r="KI40" t="s">
        <v>1</v>
      </c>
      <c r="KJ40" t="s">
        <v>1</v>
      </c>
      <c r="KK40" t="s">
        <v>1</v>
      </c>
    </row>
    <row r="41" spans="1:297" x14ac:dyDescent="0.2">
      <c r="A41">
        <v>40</v>
      </c>
      <c r="B41" t="s">
        <v>705</v>
      </c>
      <c r="C41" t="s">
        <v>55</v>
      </c>
      <c r="D41" t="s">
        <v>44</v>
      </c>
      <c r="E41">
        <v>5</v>
      </c>
      <c r="F41" t="s">
        <v>1297</v>
      </c>
      <c r="G41" t="s">
        <v>1</v>
      </c>
      <c r="H41" s="26" t="s">
        <v>1420</v>
      </c>
      <c r="I41" t="s">
        <v>1</v>
      </c>
      <c r="J41" t="s">
        <v>1</v>
      </c>
      <c r="K41" t="s">
        <v>1</v>
      </c>
      <c r="L41" t="s">
        <v>1</v>
      </c>
      <c r="M41" t="s">
        <v>1</v>
      </c>
      <c r="N41" t="s">
        <v>1</v>
      </c>
      <c r="O41" t="s">
        <v>1</v>
      </c>
      <c r="P41" t="s">
        <v>1</v>
      </c>
      <c r="Q41" t="s">
        <v>1</v>
      </c>
      <c r="R41" t="s">
        <v>1</v>
      </c>
      <c r="S41" t="s">
        <v>1</v>
      </c>
      <c r="T41" t="s">
        <v>1</v>
      </c>
      <c r="U41" t="s">
        <v>1</v>
      </c>
      <c r="V41" t="s">
        <v>1</v>
      </c>
      <c r="W41" t="s">
        <v>1</v>
      </c>
      <c r="X41" t="s">
        <v>1</v>
      </c>
      <c r="Y41" t="s">
        <v>1</v>
      </c>
      <c r="Z41" t="s">
        <v>1</v>
      </c>
      <c r="AA41" t="s">
        <v>1</v>
      </c>
      <c r="AB41" t="s">
        <v>1</v>
      </c>
      <c r="AC41" t="s">
        <v>1</v>
      </c>
      <c r="AD41" t="s">
        <v>1</v>
      </c>
      <c r="AE41" t="s">
        <v>1</v>
      </c>
      <c r="AF41" t="s">
        <v>1</v>
      </c>
      <c r="AG41" t="s">
        <v>1</v>
      </c>
      <c r="AH41" t="s">
        <v>1</v>
      </c>
      <c r="AI41" t="s">
        <v>1</v>
      </c>
      <c r="AJ41" t="s">
        <v>1</v>
      </c>
      <c r="AK41" t="s">
        <v>1</v>
      </c>
      <c r="AL41" t="s">
        <v>1</v>
      </c>
      <c r="AM41" t="s">
        <v>1</v>
      </c>
      <c r="AN41">
        <v>40</v>
      </c>
      <c r="AO41">
        <f t="shared" si="2"/>
        <v>40</v>
      </c>
      <c r="AP41">
        <f t="shared" si="0"/>
        <v>5</v>
      </c>
      <c r="AQ41">
        <f t="shared" si="1"/>
        <v>5</v>
      </c>
      <c r="AR41" s="26" t="s">
        <v>1355</v>
      </c>
      <c r="AS41" s="26" t="s">
        <v>1356</v>
      </c>
      <c r="AT41" t="s">
        <v>709</v>
      </c>
      <c r="AU41" t="s">
        <v>1</v>
      </c>
      <c r="AV41" t="s">
        <v>1</v>
      </c>
      <c r="AW41">
        <v>55.47</v>
      </c>
      <c r="AX41">
        <v>9.1</v>
      </c>
      <c r="AY41" t="s">
        <v>737</v>
      </c>
      <c r="BA41" s="3">
        <v>1</v>
      </c>
      <c r="BB41" s="3"/>
      <c r="BC41" s="3"/>
      <c r="BD41" s="3"/>
      <c r="BE41" s="3"/>
      <c r="BF41">
        <v>1989</v>
      </c>
      <c r="BG41" s="24" t="s">
        <v>733</v>
      </c>
      <c r="BH41" s="24" t="s">
        <v>733</v>
      </c>
      <c r="BI41" s="24" t="s">
        <v>733</v>
      </c>
      <c r="BJ41" s="24" t="s">
        <v>732</v>
      </c>
      <c r="BK41" s="24" t="s">
        <v>733</v>
      </c>
      <c r="BL41" s="25" t="s">
        <v>733</v>
      </c>
      <c r="BM41" s="24" t="s">
        <v>733</v>
      </c>
      <c r="BN41" s="24" t="s">
        <v>732</v>
      </c>
      <c r="BO41" s="24" t="s">
        <v>733</v>
      </c>
      <c r="BP41" s="24" t="s">
        <v>733</v>
      </c>
      <c r="BQ41" s="24" t="s">
        <v>945</v>
      </c>
      <c r="BR41" s="24" t="s">
        <v>945</v>
      </c>
      <c r="BS41" s="25" t="s">
        <v>934</v>
      </c>
      <c r="BT41" s="24" t="s">
        <v>934</v>
      </c>
      <c r="BU41" s="24" t="s">
        <v>934</v>
      </c>
      <c r="BV41" s="24" t="s">
        <v>934</v>
      </c>
      <c r="BW41" s="24" t="s">
        <v>934</v>
      </c>
      <c r="BX41" s="24" t="s">
        <v>934</v>
      </c>
      <c r="BY41" s="25" t="s">
        <v>945</v>
      </c>
      <c r="BZ41" t="s">
        <v>1398</v>
      </c>
      <c r="CB41" t="s">
        <v>1</v>
      </c>
      <c r="CC41" s="4">
        <f>520*10</f>
        <v>5200</v>
      </c>
      <c r="CD41" s="4"/>
      <c r="CE41" s="4"/>
      <c r="CF41" t="s">
        <v>793</v>
      </c>
      <c r="CG41">
        <v>100</v>
      </c>
      <c r="CH41" t="s">
        <v>805</v>
      </c>
      <c r="CI41" s="28">
        <v>1.5</v>
      </c>
      <c r="CJ41" s="10" t="s">
        <v>1442</v>
      </c>
      <c r="CK41" t="s">
        <v>807</v>
      </c>
      <c r="CL41" s="4">
        <f>532*10</f>
        <v>5320</v>
      </c>
      <c r="CM41" t="s">
        <v>847</v>
      </c>
      <c r="CN41" s="15">
        <f>13.5*10</f>
        <v>135</v>
      </c>
      <c r="CO41" s="15"/>
      <c r="CP41" s="4" t="s">
        <v>1</v>
      </c>
      <c r="CQ41" s="4" t="s">
        <v>1</v>
      </c>
      <c r="CR41" s="4" t="s">
        <v>1</v>
      </c>
      <c r="CS41" s="4" t="s">
        <v>1</v>
      </c>
      <c r="CT41" s="4" t="s">
        <v>1</v>
      </c>
      <c r="CU41" s="4" t="s">
        <v>1</v>
      </c>
      <c r="CV41" t="s">
        <v>855</v>
      </c>
      <c r="CW41">
        <v>100</v>
      </c>
      <c r="CX41">
        <v>0</v>
      </c>
      <c r="CY41">
        <v>30</v>
      </c>
      <c r="CZ41" s="26" t="s">
        <v>1358</v>
      </c>
      <c r="DA41" t="s">
        <v>734</v>
      </c>
      <c r="DB41">
        <v>81.8</v>
      </c>
      <c r="DC41">
        <v>0</v>
      </c>
      <c r="DD41">
        <v>30</v>
      </c>
      <c r="DE41" s="26" t="s">
        <v>1358</v>
      </c>
      <c r="DF41" t="s">
        <v>735</v>
      </c>
      <c r="DG41">
        <v>9.6999999999999993</v>
      </c>
      <c r="DH41">
        <v>0</v>
      </c>
      <c r="DI41">
        <v>30</v>
      </c>
      <c r="DJ41" s="26" t="s">
        <v>1358</v>
      </c>
      <c r="DK41" t="s">
        <v>736</v>
      </c>
      <c r="DL41">
        <v>8.5</v>
      </c>
      <c r="DM41">
        <v>0</v>
      </c>
      <c r="DN41">
        <v>30</v>
      </c>
      <c r="DO41" s="26" t="s">
        <v>1358</v>
      </c>
      <c r="DP41" t="s">
        <v>6</v>
      </c>
      <c r="DQ41" t="s">
        <v>814</v>
      </c>
      <c r="DR41">
        <v>6.5</v>
      </c>
      <c r="DS41">
        <v>0</v>
      </c>
      <c r="DT41">
        <v>30</v>
      </c>
      <c r="DU41" s="26" t="s">
        <v>1358</v>
      </c>
      <c r="EA41" t="s">
        <v>982</v>
      </c>
      <c r="EB41">
        <v>26</v>
      </c>
      <c r="EC41">
        <v>0</v>
      </c>
      <c r="ED41">
        <v>30</v>
      </c>
      <c r="EE41" s="26" t="s">
        <v>1358</v>
      </c>
      <c r="EF41" s="26"/>
      <c r="FZ41" t="s">
        <v>806</v>
      </c>
      <c r="GA41">
        <v>949</v>
      </c>
      <c r="GE41" s="26" t="s">
        <v>1358</v>
      </c>
      <c r="HA41" s="5" t="s">
        <v>1</v>
      </c>
      <c r="HB41" s="4" t="s">
        <v>1</v>
      </c>
      <c r="HC41" t="s">
        <v>1</v>
      </c>
      <c r="HD41" t="s">
        <v>1</v>
      </c>
      <c r="HE41" t="s">
        <v>1</v>
      </c>
      <c r="HF41" s="5" t="s">
        <v>1063</v>
      </c>
      <c r="HG41" s="4">
        <v>2.0399999999999996</v>
      </c>
      <c r="HH41">
        <v>0</v>
      </c>
      <c r="HI41">
        <v>30</v>
      </c>
      <c r="HJ41" s="26" t="s">
        <v>1358</v>
      </c>
      <c r="HK41" t="s">
        <v>815</v>
      </c>
      <c r="HL41" s="34">
        <v>1.55</v>
      </c>
      <c r="HM41">
        <v>0</v>
      </c>
      <c r="HN41">
        <v>30</v>
      </c>
      <c r="HO41" t="s">
        <v>1448</v>
      </c>
      <c r="HP41" s="26" t="s">
        <v>1358</v>
      </c>
      <c r="HZ41" t="s">
        <v>1</v>
      </c>
      <c r="IA41" t="s">
        <v>1</v>
      </c>
      <c r="IB41" s="10" t="s">
        <v>1</v>
      </c>
      <c r="IC41" s="10"/>
      <c r="ID41" s="10"/>
      <c r="IE41" s="10" t="s">
        <v>1</v>
      </c>
      <c r="IF41" s="10" t="s">
        <v>1</v>
      </c>
      <c r="IG41" s="10"/>
      <c r="IH41" s="10"/>
      <c r="II41" s="10"/>
      <c r="IJ41" s="10"/>
      <c r="IK41" s="10"/>
      <c r="IL41" s="10"/>
      <c r="IM41" s="10"/>
      <c r="IN41" s="10"/>
      <c r="IO41" s="10"/>
      <c r="IP41" s="10"/>
      <c r="IQ41" s="10"/>
      <c r="IR41" s="10"/>
      <c r="IS41" t="s">
        <v>1</v>
      </c>
      <c r="IT41" t="s">
        <v>1</v>
      </c>
      <c r="IW41" t="s">
        <v>979</v>
      </c>
      <c r="IX41">
        <v>232</v>
      </c>
      <c r="IY41" t="s">
        <v>1</v>
      </c>
      <c r="IZ41" t="s">
        <v>1</v>
      </c>
      <c r="JA41" t="s">
        <v>1</v>
      </c>
      <c r="JB41" s="4" t="s">
        <v>1</v>
      </c>
      <c r="JC41" t="s">
        <v>1</v>
      </c>
      <c r="JD41" s="4" t="s">
        <v>1</v>
      </c>
      <c r="JE41" t="s">
        <v>1</v>
      </c>
      <c r="JF41" t="s">
        <v>1</v>
      </c>
      <c r="JR41" t="s">
        <v>1066</v>
      </c>
      <c r="JS41">
        <v>154.9</v>
      </c>
      <c r="JU41" t="s">
        <v>1</v>
      </c>
      <c r="JW41" t="s">
        <v>1</v>
      </c>
      <c r="JX41">
        <v>0</v>
      </c>
      <c r="JY41">
        <v>150</v>
      </c>
      <c r="JZ41" t="s">
        <v>796</v>
      </c>
      <c r="KA41" t="s">
        <v>46</v>
      </c>
      <c r="KB41" t="s">
        <v>738</v>
      </c>
      <c r="KC41" t="s">
        <v>1</v>
      </c>
      <c r="KD41" t="s">
        <v>1</v>
      </c>
      <c r="KE41" t="s">
        <v>1</v>
      </c>
      <c r="KF41" t="s">
        <v>1</v>
      </c>
      <c r="KG41" t="s">
        <v>1</v>
      </c>
      <c r="KH41" t="s">
        <v>1</v>
      </c>
      <c r="KI41" t="s">
        <v>1</v>
      </c>
      <c r="KJ41" t="s">
        <v>1</v>
      </c>
      <c r="KK41" t="s">
        <v>1</v>
      </c>
    </row>
    <row r="42" spans="1:297" x14ac:dyDescent="0.2">
      <c r="A42">
        <v>41</v>
      </c>
      <c r="B42" t="s">
        <v>705</v>
      </c>
      <c r="C42" t="s">
        <v>56</v>
      </c>
      <c r="D42" t="s">
        <v>44</v>
      </c>
      <c r="E42">
        <v>5</v>
      </c>
      <c r="F42" t="s">
        <v>1297</v>
      </c>
      <c r="G42" t="s">
        <v>1</v>
      </c>
      <c r="H42" s="26" t="s">
        <v>1420</v>
      </c>
      <c r="I42" t="s">
        <v>1</v>
      </c>
      <c r="J42" t="s">
        <v>1</v>
      </c>
      <c r="K42" t="s">
        <v>1</v>
      </c>
      <c r="L42" t="s">
        <v>1</v>
      </c>
      <c r="M42" t="s">
        <v>1</v>
      </c>
      <c r="N42" t="s">
        <v>1</v>
      </c>
      <c r="O42" t="s">
        <v>1</v>
      </c>
      <c r="P42" t="s">
        <v>1</v>
      </c>
      <c r="Q42" t="s">
        <v>1</v>
      </c>
      <c r="R42" t="s">
        <v>1</v>
      </c>
      <c r="S42" t="s">
        <v>1</v>
      </c>
      <c r="T42" t="s">
        <v>1</v>
      </c>
      <c r="U42" t="s">
        <v>1</v>
      </c>
      <c r="V42" t="s">
        <v>1</v>
      </c>
      <c r="W42" t="s">
        <v>1</v>
      </c>
      <c r="X42" t="s">
        <v>1</v>
      </c>
      <c r="Y42" t="s">
        <v>1</v>
      </c>
      <c r="Z42" t="s">
        <v>1</v>
      </c>
      <c r="AA42" t="s">
        <v>1</v>
      </c>
      <c r="AB42" t="s">
        <v>1</v>
      </c>
      <c r="AC42" t="s">
        <v>1</v>
      </c>
      <c r="AD42" t="s">
        <v>1</v>
      </c>
      <c r="AE42" t="s">
        <v>1</v>
      </c>
      <c r="AF42" t="s">
        <v>1</v>
      </c>
      <c r="AG42" t="s">
        <v>1</v>
      </c>
      <c r="AH42" t="s">
        <v>1</v>
      </c>
      <c r="AI42" t="s">
        <v>1</v>
      </c>
      <c r="AJ42" t="s">
        <v>1</v>
      </c>
      <c r="AK42" t="s">
        <v>1</v>
      </c>
      <c r="AL42" t="s">
        <v>1</v>
      </c>
      <c r="AM42" t="s">
        <v>1</v>
      </c>
      <c r="AN42">
        <v>41</v>
      </c>
      <c r="AO42">
        <f t="shared" si="2"/>
        <v>41</v>
      </c>
      <c r="AP42">
        <f t="shared" si="0"/>
        <v>5</v>
      </c>
      <c r="AQ42">
        <f t="shared" si="1"/>
        <v>5</v>
      </c>
      <c r="AR42" s="26" t="s">
        <v>1355</v>
      </c>
      <c r="AS42" s="26" t="s">
        <v>1356</v>
      </c>
      <c r="AT42" t="s">
        <v>709</v>
      </c>
      <c r="AU42" t="s">
        <v>1</v>
      </c>
      <c r="AV42" t="s">
        <v>1</v>
      </c>
      <c r="AW42">
        <v>55.47</v>
      </c>
      <c r="AX42">
        <v>9.1</v>
      </c>
      <c r="AY42" t="s">
        <v>737</v>
      </c>
      <c r="BA42" s="3">
        <v>2</v>
      </c>
      <c r="BB42" s="3"/>
      <c r="BC42" s="3"/>
      <c r="BD42" s="3"/>
      <c r="BE42" s="3"/>
      <c r="BF42">
        <v>1989</v>
      </c>
      <c r="BG42" s="24" t="s">
        <v>733</v>
      </c>
      <c r="BH42" s="24" t="s">
        <v>733</v>
      </c>
      <c r="BI42" s="24" t="s">
        <v>733</v>
      </c>
      <c r="BJ42" s="24" t="s">
        <v>732</v>
      </c>
      <c r="BK42" s="24" t="s">
        <v>733</v>
      </c>
      <c r="BL42" s="25" t="s">
        <v>733</v>
      </c>
      <c r="BM42" s="24" t="s">
        <v>733</v>
      </c>
      <c r="BN42" s="24" t="s">
        <v>732</v>
      </c>
      <c r="BO42" s="24" t="s">
        <v>733</v>
      </c>
      <c r="BP42" s="24" t="s">
        <v>733</v>
      </c>
      <c r="BQ42" s="24" t="s">
        <v>945</v>
      </c>
      <c r="BR42" s="24" t="s">
        <v>945</v>
      </c>
      <c r="BS42" s="25" t="s">
        <v>934</v>
      </c>
      <c r="BT42" s="24" t="s">
        <v>934</v>
      </c>
      <c r="BU42" s="24" t="s">
        <v>934</v>
      </c>
      <c r="BV42" s="24" t="s">
        <v>934</v>
      </c>
      <c r="BW42" s="24" t="s">
        <v>934</v>
      </c>
      <c r="BX42" s="24" t="s">
        <v>934</v>
      </c>
      <c r="BY42" s="25" t="s">
        <v>945</v>
      </c>
      <c r="BZ42" t="s">
        <v>1398</v>
      </c>
      <c r="CB42" t="s">
        <v>1</v>
      </c>
      <c r="CC42" s="4">
        <f>179*10</f>
        <v>1790</v>
      </c>
      <c r="CD42" s="4"/>
      <c r="CE42" s="4"/>
      <c r="CF42" t="s">
        <v>793</v>
      </c>
      <c r="CG42">
        <v>100</v>
      </c>
      <c r="CH42" t="s">
        <v>805</v>
      </c>
      <c r="CI42" s="28">
        <v>1.5</v>
      </c>
      <c r="CJ42" s="10" t="s">
        <v>1442</v>
      </c>
      <c r="CK42" t="s">
        <v>807</v>
      </c>
      <c r="CL42" s="4">
        <f>169*10</f>
        <v>1690</v>
      </c>
      <c r="CM42" t="s">
        <v>847</v>
      </c>
      <c r="CN42" s="4">
        <f>3.4*10</f>
        <v>34</v>
      </c>
      <c r="CO42" s="4"/>
      <c r="CP42" s="4" t="s">
        <v>1</v>
      </c>
      <c r="CQ42" s="4" t="s">
        <v>1</v>
      </c>
      <c r="CR42" s="4" t="s">
        <v>1</v>
      </c>
      <c r="CS42" s="4" t="s">
        <v>1</v>
      </c>
      <c r="CT42" s="4" t="s">
        <v>1</v>
      </c>
      <c r="CU42" s="4" t="s">
        <v>1</v>
      </c>
      <c r="CV42" t="s">
        <v>855</v>
      </c>
      <c r="CW42">
        <v>100</v>
      </c>
      <c r="CX42">
        <v>0</v>
      </c>
      <c r="CY42">
        <v>30</v>
      </c>
      <c r="CZ42" s="26" t="s">
        <v>1358</v>
      </c>
      <c r="DA42" t="s">
        <v>734</v>
      </c>
      <c r="DB42">
        <v>81.8</v>
      </c>
      <c r="DC42">
        <v>0</v>
      </c>
      <c r="DD42">
        <v>30</v>
      </c>
      <c r="DE42" s="26" t="s">
        <v>1358</v>
      </c>
      <c r="DF42" t="s">
        <v>735</v>
      </c>
      <c r="DG42">
        <v>9.6999999999999993</v>
      </c>
      <c r="DH42">
        <v>0</v>
      </c>
      <c r="DI42">
        <v>30</v>
      </c>
      <c r="DJ42" s="26" t="s">
        <v>1358</v>
      </c>
      <c r="DK42" t="s">
        <v>736</v>
      </c>
      <c r="DL42">
        <v>8.5</v>
      </c>
      <c r="DM42">
        <v>0</v>
      </c>
      <c r="DN42">
        <v>30</v>
      </c>
      <c r="DO42" s="26" t="s">
        <v>1358</v>
      </c>
      <c r="DP42" t="s">
        <v>6</v>
      </c>
      <c r="DQ42" t="s">
        <v>814</v>
      </c>
      <c r="DR42">
        <v>6.5</v>
      </c>
      <c r="DS42">
        <v>0</v>
      </c>
      <c r="DT42">
        <v>30</v>
      </c>
      <c r="DU42" s="26" t="s">
        <v>1358</v>
      </c>
      <c r="EA42" t="s">
        <v>982</v>
      </c>
      <c r="EB42">
        <v>26</v>
      </c>
      <c r="EC42">
        <v>0</v>
      </c>
      <c r="ED42">
        <v>30</v>
      </c>
      <c r="EE42" s="26" t="s">
        <v>1358</v>
      </c>
      <c r="EF42" s="26"/>
      <c r="FZ42" t="s">
        <v>806</v>
      </c>
      <c r="GA42">
        <v>949</v>
      </c>
      <c r="GE42" s="26" t="s">
        <v>1358</v>
      </c>
      <c r="HA42" s="5" t="s">
        <v>1</v>
      </c>
      <c r="HB42" s="4" t="s">
        <v>1</v>
      </c>
      <c r="HC42" t="s">
        <v>1</v>
      </c>
      <c r="HD42" t="s">
        <v>1</v>
      </c>
      <c r="HE42" t="s">
        <v>1</v>
      </c>
      <c r="HF42" s="5" t="s">
        <v>1063</v>
      </c>
      <c r="HG42" s="4">
        <v>2.0399999999999996</v>
      </c>
      <c r="HH42">
        <v>0</v>
      </c>
      <c r="HI42">
        <v>30</v>
      </c>
      <c r="HJ42" s="26" t="s">
        <v>1358</v>
      </c>
      <c r="HK42" t="s">
        <v>815</v>
      </c>
      <c r="HL42" s="34">
        <v>1.55</v>
      </c>
      <c r="HM42">
        <v>0</v>
      </c>
      <c r="HN42">
        <v>30</v>
      </c>
      <c r="HO42" t="s">
        <v>1448</v>
      </c>
      <c r="HP42" s="26" t="s">
        <v>1358</v>
      </c>
      <c r="HZ42" t="s">
        <v>1</v>
      </c>
      <c r="IA42" t="s">
        <v>1</v>
      </c>
      <c r="IB42" s="10" t="s">
        <v>1</v>
      </c>
      <c r="IC42" s="10"/>
      <c r="ID42" s="10"/>
      <c r="IE42" s="10" t="s">
        <v>1</v>
      </c>
      <c r="IF42" s="10" t="s">
        <v>1</v>
      </c>
      <c r="IG42" s="10"/>
      <c r="IH42" s="10"/>
      <c r="II42" s="10"/>
      <c r="IJ42" s="10"/>
      <c r="IK42" s="10"/>
      <c r="IL42" s="10"/>
      <c r="IM42" s="10"/>
      <c r="IN42" s="10"/>
      <c r="IO42" s="10"/>
      <c r="IP42" s="10"/>
      <c r="IQ42" s="10"/>
      <c r="IR42" s="10"/>
      <c r="IS42" t="s">
        <v>1</v>
      </c>
      <c r="IT42" t="s">
        <v>1</v>
      </c>
      <c r="IW42" t="s">
        <v>1</v>
      </c>
      <c r="IX42" t="s">
        <v>1</v>
      </c>
      <c r="IY42" t="s">
        <v>1</v>
      </c>
      <c r="IZ42" t="s">
        <v>1</v>
      </c>
      <c r="JA42" t="s">
        <v>1</v>
      </c>
      <c r="JB42" s="4" t="s">
        <v>1</v>
      </c>
      <c r="JC42" t="s">
        <v>1</v>
      </c>
      <c r="JD42" s="4" t="s">
        <v>1</v>
      </c>
      <c r="JE42" t="s">
        <v>1</v>
      </c>
      <c r="JF42" t="s">
        <v>1</v>
      </c>
      <c r="JR42" t="s">
        <v>1066</v>
      </c>
      <c r="JS42">
        <v>115.1</v>
      </c>
      <c r="JU42" t="s">
        <v>1</v>
      </c>
      <c r="JW42" t="s">
        <v>1</v>
      </c>
      <c r="JX42">
        <v>0</v>
      </c>
      <c r="JY42">
        <v>150</v>
      </c>
      <c r="JZ42" t="s">
        <v>796</v>
      </c>
      <c r="KA42" t="s">
        <v>46</v>
      </c>
      <c r="KB42" t="s">
        <v>738</v>
      </c>
      <c r="KC42" t="s">
        <v>1</v>
      </c>
      <c r="KD42" t="s">
        <v>1</v>
      </c>
      <c r="KE42" t="s">
        <v>1</v>
      </c>
      <c r="KF42" t="s">
        <v>1</v>
      </c>
      <c r="KG42" t="s">
        <v>1</v>
      </c>
      <c r="KH42" t="s">
        <v>1</v>
      </c>
      <c r="KI42" t="s">
        <v>1</v>
      </c>
      <c r="KJ42" t="s">
        <v>1</v>
      </c>
      <c r="KK42" t="s">
        <v>1</v>
      </c>
    </row>
    <row r="43" spans="1:297" x14ac:dyDescent="0.2">
      <c r="A43">
        <v>42</v>
      </c>
      <c r="B43" t="s">
        <v>705</v>
      </c>
      <c r="C43" t="s">
        <v>57</v>
      </c>
      <c r="D43" t="s">
        <v>44</v>
      </c>
      <c r="E43">
        <v>5</v>
      </c>
      <c r="F43" t="s">
        <v>1297</v>
      </c>
      <c r="G43" t="s">
        <v>1</v>
      </c>
      <c r="H43" s="26" t="s">
        <v>1420</v>
      </c>
      <c r="I43" t="s">
        <v>1</v>
      </c>
      <c r="J43" t="s">
        <v>1</v>
      </c>
      <c r="K43" t="s">
        <v>1</v>
      </c>
      <c r="L43" t="s">
        <v>1</v>
      </c>
      <c r="M43" t="s">
        <v>1</v>
      </c>
      <c r="N43" t="s">
        <v>1</v>
      </c>
      <c r="O43" t="s">
        <v>1</v>
      </c>
      <c r="P43" t="s">
        <v>1</v>
      </c>
      <c r="Q43" t="s">
        <v>1</v>
      </c>
      <c r="R43" t="s">
        <v>1</v>
      </c>
      <c r="S43" t="s">
        <v>1</v>
      </c>
      <c r="T43" t="s">
        <v>1</v>
      </c>
      <c r="U43" t="s">
        <v>1</v>
      </c>
      <c r="V43" t="s">
        <v>1</v>
      </c>
      <c r="W43" t="s">
        <v>1</v>
      </c>
      <c r="X43" t="s">
        <v>1</v>
      </c>
      <c r="Y43" t="s">
        <v>1</v>
      </c>
      <c r="Z43" t="s">
        <v>1</v>
      </c>
      <c r="AA43" t="s">
        <v>1</v>
      </c>
      <c r="AB43" t="s">
        <v>1</v>
      </c>
      <c r="AC43" t="s">
        <v>1</v>
      </c>
      <c r="AD43" t="s">
        <v>1</v>
      </c>
      <c r="AE43" t="s">
        <v>1</v>
      </c>
      <c r="AF43" t="s">
        <v>1</v>
      </c>
      <c r="AG43" t="s">
        <v>1</v>
      </c>
      <c r="AH43" t="s">
        <v>1</v>
      </c>
      <c r="AI43" t="s">
        <v>1</v>
      </c>
      <c r="AJ43" t="s">
        <v>1</v>
      </c>
      <c r="AK43" t="s">
        <v>1</v>
      </c>
      <c r="AL43" t="s">
        <v>1</v>
      </c>
      <c r="AM43" t="s">
        <v>1</v>
      </c>
      <c r="AN43">
        <v>42</v>
      </c>
      <c r="AO43">
        <f t="shared" si="2"/>
        <v>42</v>
      </c>
      <c r="AP43">
        <f t="shared" si="0"/>
        <v>5</v>
      </c>
      <c r="AQ43">
        <f t="shared" si="1"/>
        <v>5</v>
      </c>
      <c r="AR43" s="26" t="s">
        <v>1355</v>
      </c>
      <c r="AS43" s="26" t="s">
        <v>1356</v>
      </c>
      <c r="AT43" t="s">
        <v>709</v>
      </c>
      <c r="AU43" t="s">
        <v>1</v>
      </c>
      <c r="AV43" t="s">
        <v>1</v>
      </c>
      <c r="AW43">
        <v>55.47</v>
      </c>
      <c r="AX43">
        <v>9.1</v>
      </c>
      <c r="AY43" t="s">
        <v>737</v>
      </c>
      <c r="BA43" s="3">
        <v>2</v>
      </c>
      <c r="BB43" s="3"/>
      <c r="BC43" s="3"/>
      <c r="BD43" s="3"/>
      <c r="BE43" s="3"/>
      <c r="BF43">
        <v>1989</v>
      </c>
      <c r="BG43" s="24" t="s">
        <v>733</v>
      </c>
      <c r="BH43" s="24" t="s">
        <v>733</v>
      </c>
      <c r="BI43" s="24" t="s">
        <v>733</v>
      </c>
      <c r="BJ43" s="24" t="s">
        <v>732</v>
      </c>
      <c r="BK43" s="24" t="s">
        <v>733</v>
      </c>
      <c r="BL43" s="25" t="s">
        <v>733</v>
      </c>
      <c r="BM43" s="24" t="s">
        <v>733</v>
      </c>
      <c r="BN43" s="24" t="s">
        <v>732</v>
      </c>
      <c r="BO43" s="24" t="s">
        <v>733</v>
      </c>
      <c r="BP43" s="24" t="s">
        <v>733</v>
      </c>
      <c r="BQ43" s="24" t="s">
        <v>945</v>
      </c>
      <c r="BR43" s="24" t="s">
        <v>945</v>
      </c>
      <c r="BS43" s="25" t="s">
        <v>934</v>
      </c>
      <c r="BT43" s="24" t="s">
        <v>934</v>
      </c>
      <c r="BU43" s="24" t="s">
        <v>934</v>
      </c>
      <c r="BV43" s="24" t="s">
        <v>934</v>
      </c>
      <c r="BW43" s="24" t="s">
        <v>934</v>
      </c>
      <c r="BX43" s="24" t="s">
        <v>934</v>
      </c>
      <c r="BY43" s="25" t="s">
        <v>945</v>
      </c>
      <c r="BZ43" t="s">
        <v>1398</v>
      </c>
      <c r="CB43" t="s">
        <v>1</v>
      </c>
      <c r="CC43" s="4">
        <f>547*10</f>
        <v>5470</v>
      </c>
      <c r="CD43" s="4"/>
      <c r="CE43" s="4"/>
      <c r="CF43" t="s">
        <v>793</v>
      </c>
      <c r="CG43">
        <v>100</v>
      </c>
      <c r="CH43" t="s">
        <v>805</v>
      </c>
      <c r="CI43" s="28">
        <v>1.5</v>
      </c>
      <c r="CJ43" s="10" t="s">
        <v>1442</v>
      </c>
      <c r="CK43" t="s">
        <v>807</v>
      </c>
      <c r="CL43" s="4">
        <f>523*10</f>
        <v>5230</v>
      </c>
      <c r="CM43" t="s">
        <v>847</v>
      </c>
      <c r="CN43" s="4">
        <f>10.6*10</f>
        <v>106</v>
      </c>
      <c r="CO43" s="4"/>
      <c r="CP43" s="4" t="s">
        <v>1</v>
      </c>
      <c r="CQ43" s="4" t="s">
        <v>1</v>
      </c>
      <c r="CR43" s="4" t="s">
        <v>1</v>
      </c>
      <c r="CS43" s="4" t="s">
        <v>1</v>
      </c>
      <c r="CT43" s="4" t="s">
        <v>1</v>
      </c>
      <c r="CU43" s="4" t="s">
        <v>1</v>
      </c>
      <c r="CV43" t="s">
        <v>855</v>
      </c>
      <c r="CW43">
        <v>100</v>
      </c>
      <c r="CX43">
        <v>0</v>
      </c>
      <c r="CY43">
        <v>30</v>
      </c>
      <c r="CZ43" s="26" t="s">
        <v>1358</v>
      </c>
      <c r="DA43" t="s">
        <v>734</v>
      </c>
      <c r="DB43">
        <v>81.8</v>
      </c>
      <c r="DC43">
        <v>0</v>
      </c>
      <c r="DD43">
        <v>30</v>
      </c>
      <c r="DE43" s="26" t="s">
        <v>1358</v>
      </c>
      <c r="DF43" t="s">
        <v>735</v>
      </c>
      <c r="DG43">
        <v>9.6999999999999993</v>
      </c>
      <c r="DH43">
        <v>0</v>
      </c>
      <c r="DI43">
        <v>30</v>
      </c>
      <c r="DJ43" s="26" t="s">
        <v>1358</v>
      </c>
      <c r="DK43" t="s">
        <v>736</v>
      </c>
      <c r="DL43">
        <v>8.5</v>
      </c>
      <c r="DM43">
        <v>0</v>
      </c>
      <c r="DN43">
        <v>30</v>
      </c>
      <c r="DO43" s="26" t="s">
        <v>1358</v>
      </c>
      <c r="DP43" t="s">
        <v>6</v>
      </c>
      <c r="DQ43" t="s">
        <v>814</v>
      </c>
      <c r="DR43">
        <v>6.5</v>
      </c>
      <c r="DS43">
        <v>0</v>
      </c>
      <c r="DT43">
        <v>30</v>
      </c>
      <c r="DU43" s="26" t="s">
        <v>1358</v>
      </c>
      <c r="EA43" t="s">
        <v>982</v>
      </c>
      <c r="EB43">
        <v>26</v>
      </c>
      <c r="EC43">
        <v>0</v>
      </c>
      <c r="ED43">
        <v>30</v>
      </c>
      <c r="EE43" s="26" t="s">
        <v>1358</v>
      </c>
      <c r="EF43" s="26"/>
      <c r="FZ43" t="s">
        <v>806</v>
      </c>
      <c r="GA43">
        <v>949</v>
      </c>
      <c r="GE43" s="26" t="s">
        <v>1358</v>
      </c>
      <c r="HA43" s="5" t="s">
        <v>1</v>
      </c>
      <c r="HB43" s="4" t="s">
        <v>1</v>
      </c>
      <c r="HC43" t="s">
        <v>1</v>
      </c>
      <c r="HD43" t="s">
        <v>1</v>
      </c>
      <c r="HE43" t="s">
        <v>1</v>
      </c>
      <c r="HF43" s="5" t="s">
        <v>1063</v>
      </c>
      <c r="HG43" s="4">
        <v>2.0399999999999996</v>
      </c>
      <c r="HH43">
        <v>0</v>
      </c>
      <c r="HI43">
        <v>30</v>
      </c>
      <c r="HJ43" s="26" t="s">
        <v>1358</v>
      </c>
      <c r="HK43" t="s">
        <v>815</v>
      </c>
      <c r="HL43" s="34">
        <v>1.55</v>
      </c>
      <c r="HM43">
        <v>0</v>
      </c>
      <c r="HN43">
        <v>30</v>
      </c>
      <c r="HO43" t="s">
        <v>1448</v>
      </c>
      <c r="HP43" s="26" t="s">
        <v>1358</v>
      </c>
      <c r="HZ43" t="s">
        <v>968</v>
      </c>
      <c r="IA43">
        <v>110</v>
      </c>
      <c r="IB43" s="10" t="s">
        <v>1</v>
      </c>
      <c r="IC43" s="10"/>
      <c r="ID43" s="10"/>
      <c r="IE43" s="10" t="s">
        <v>1</v>
      </c>
      <c r="IF43" s="10" t="s">
        <v>1</v>
      </c>
      <c r="IG43" s="10"/>
      <c r="IH43" s="10"/>
      <c r="II43" s="10"/>
      <c r="IJ43" s="10"/>
      <c r="IK43" s="10"/>
      <c r="IL43" s="10"/>
      <c r="IM43" s="10"/>
      <c r="IN43" s="10"/>
      <c r="IO43" s="10"/>
      <c r="IP43" s="10"/>
      <c r="IQ43" s="10"/>
      <c r="IR43" s="10"/>
      <c r="IS43" t="s">
        <v>1</v>
      </c>
      <c r="IT43" t="s">
        <v>1</v>
      </c>
      <c r="IW43" t="s">
        <v>1</v>
      </c>
      <c r="IX43" t="s">
        <v>1</v>
      </c>
      <c r="IY43" t="s">
        <v>1</v>
      </c>
      <c r="IZ43" t="s">
        <v>1</v>
      </c>
      <c r="JA43" t="s">
        <v>1</v>
      </c>
      <c r="JB43" s="4" t="s">
        <v>1</v>
      </c>
      <c r="JC43" t="s">
        <v>1</v>
      </c>
      <c r="JD43" s="4" t="s">
        <v>1</v>
      </c>
      <c r="JE43" t="s">
        <v>1</v>
      </c>
      <c r="JF43" t="s">
        <v>1</v>
      </c>
      <c r="JR43" t="s">
        <v>1066</v>
      </c>
      <c r="JS43">
        <v>84.1</v>
      </c>
      <c r="JU43" t="s">
        <v>1</v>
      </c>
      <c r="JW43" t="s">
        <v>1</v>
      </c>
      <c r="JX43">
        <v>0</v>
      </c>
      <c r="JY43">
        <v>150</v>
      </c>
      <c r="JZ43" t="s">
        <v>796</v>
      </c>
      <c r="KA43" t="s">
        <v>46</v>
      </c>
      <c r="KB43" t="s">
        <v>738</v>
      </c>
      <c r="KC43" t="s">
        <v>1</v>
      </c>
      <c r="KD43" t="s">
        <v>1</v>
      </c>
      <c r="KE43" t="s">
        <v>1</v>
      </c>
      <c r="KF43" t="s">
        <v>1</v>
      </c>
      <c r="KG43" t="s">
        <v>1</v>
      </c>
      <c r="KH43" t="s">
        <v>1</v>
      </c>
      <c r="KI43" t="s">
        <v>1</v>
      </c>
      <c r="KJ43" t="s">
        <v>1</v>
      </c>
      <c r="KK43" t="s">
        <v>1</v>
      </c>
    </row>
    <row r="44" spans="1:297" x14ac:dyDescent="0.2">
      <c r="A44">
        <v>43</v>
      </c>
      <c r="B44" t="s">
        <v>705</v>
      </c>
      <c r="C44" t="s">
        <v>58</v>
      </c>
      <c r="D44" t="s">
        <v>44</v>
      </c>
      <c r="E44">
        <v>5</v>
      </c>
      <c r="F44" t="s">
        <v>1297</v>
      </c>
      <c r="G44" t="s">
        <v>1</v>
      </c>
      <c r="H44" s="26" t="s">
        <v>1420</v>
      </c>
      <c r="I44" t="s">
        <v>1</v>
      </c>
      <c r="J44" t="s">
        <v>1</v>
      </c>
      <c r="K44" t="s">
        <v>1</v>
      </c>
      <c r="L44" t="s">
        <v>1</v>
      </c>
      <c r="M44" t="s">
        <v>1</v>
      </c>
      <c r="N44" t="s">
        <v>1</v>
      </c>
      <c r="O44" t="s">
        <v>1</v>
      </c>
      <c r="P44" t="s">
        <v>1</v>
      </c>
      <c r="Q44" t="s">
        <v>1</v>
      </c>
      <c r="R44" t="s">
        <v>1</v>
      </c>
      <c r="S44" t="s">
        <v>1</v>
      </c>
      <c r="T44" t="s">
        <v>1</v>
      </c>
      <c r="U44" t="s">
        <v>1</v>
      </c>
      <c r="V44" t="s">
        <v>1</v>
      </c>
      <c r="W44" t="s">
        <v>1</v>
      </c>
      <c r="X44" t="s">
        <v>1</v>
      </c>
      <c r="Y44" t="s">
        <v>1</v>
      </c>
      <c r="Z44" t="s">
        <v>1</v>
      </c>
      <c r="AA44" t="s">
        <v>1</v>
      </c>
      <c r="AB44" t="s">
        <v>1</v>
      </c>
      <c r="AC44" t="s">
        <v>1</v>
      </c>
      <c r="AD44" t="s">
        <v>1</v>
      </c>
      <c r="AE44" t="s">
        <v>1</v>
      </c>
      <c r="AF44" t="s">
        <v>1</v>
      </c>
      <c r="AG44" t="s">
        <v>1</v>
      </c>
      <c r="AH44" t="s">
        <v>1</v>
      </c>
      <c r="AI44" t="s">
        <v>1</v>
      </c>
      <c r="AJ44" t="s">
        <v>1</v>
      </c>
      <c r="AK44" t="s">
        <v>1</v>
      </c>
      <c r="AL44" t="s">
        <v>1</v>
      </c>
      <c r="AM44" t="s">
        <v>1</v>
      </c>
      <c r="AN44">
        <v>43</v>
      </c>
      <c r="AO44">
        <f t="shared" si="2"/>
        <v>43</v>
      </c>
      <c r="AP44">
        <f t="shared" si="0"/>
        <v>5</v>
      </c>
      <c r="AQ44">
        <f t="shared" si="1"/>
        <v>5</v>
      </c>
      <c r="AR44" s="26" t="s">
        <v>1355</v>
      </c>
      <c r="AS44" s="26" t="s">
        <v>1356</v>
      </c>
      <c r="AT44" t="s">
        <v>709</v>
      </c>
      <c r="AU44" t="s">
        <v>1</v>
      </c>
      <c r="AV44" t="s">
        <v>1</v>
      </c>
      <c r="AW44">
        <v>55.47</v>
      </c>
      <c r="AX44">
        <v>9.1</v>
      </c>
      <c r="AY44" t="s">
        <v>737</v>
      </c>
      <c r="BA44" s="3">
        <v>2</v>
      </c>
      <c r="BB44" s="3"/>
      <c r="BC44" s="3"/>
      <c r="BD44" s="3"/>
      <c r="BE44" s="3"/>
      <c r="BF44">
        <v>1989</v>
      </c>
      <c r="BG44" s="24" t="s">
        <v>733</v>
      </c>
      <c r="BH44" s="24" t="s">
        <v>733</v>
      </c>
      <c r="BI44" s="24" t="s">
        <v>733</v>
      </c>
      <c r="BJ44" s="24" t="s">
        <v>732</v>
      </c>
      <c r="BK44" s="24" t="s">
        <v>733</v>
      </c>
      <c r="BL44" s="25" t="s">
        <v>733</v>
      </c>
      <c r="BM44" s="24" t="s">
        <v>733</v>
      </c>
      <c r="BN44" s="24" t="s">
        <v>732</v>
      </c>
      <c r="BO44" s="24" t="s">
        <v>733</v>
      </c>
      <c r="BP44" s="24" t="s">
        <v>733</v>
      </c>
      <c r="BQ44" s="24" t="s">
        <v>945</v>
      </c>
      <c r="BR44" s="24" t="s">
        <v>945</v>
      </c>
      <c r="BS44" s="25" t="s">
        <v>934</v>
      </c>
      <c r="BT44" s="24" t="s">
        <v>934</v>
      </c>
      <c r="BU44" s="24" t="s">
        <v>934</v>
      </c>
      <c r="BV44" s="24" t="s">
        <v>934</v>
      </c>
      <c r="BW44" s="24" t="s">
        <v>934</v>
      </c>
      <c r="BX44" s="24" t="s">
        <v>934</v>
      </c>
      <c r="BY44" s="25" t="s">
        <v>945</v>
      </c>
      <c r="BZ44" t="s">
        <v>1398</v>
      </c>
      <c r="CB44" t="s">
        <v>1</v>
      </c>
      <c r="CC44" s="4">
        <f>618*10</f>
        <v>6180</v>
      </c>
      <c r="CD44" s="4"/>
      <c r="CE44" s="4"/>
      <c r="CF44" t="s">
        <v>793</v>
      </c>
      <c r="CG44">
        <v>100</v>
      </c>
      <c r="CH44" t="s">
        <v>805</v>
      </c>
      <c r="CI44" s="28">
        <v>1.5</v>
      </c>
      <c r="CJ44" s="10" t="s">
        <v>1442</v>
      </c>
      <c r="CK44" t="s">
        <v>807</v>
      </c>
      <c r="CL44" s="4">
        <f>584*10</f>
        <v>5840</v>
      </c>
      <c r="CM44" t="s">
        <v>847</v>
      </c>
      <c r="CN44" s="4">
        <f>13.4*10</f>
        <v>134</v>
      </c>
      <c r="CO44" s="4"/>
      <c r="CP44" s="4" t="s">
        <v>1</v>
      </c>
      <c r="CQ44" s="4" t="s">
        <v>1</v>
      </c>
      <c r="CR44" s="4" t="s">
        <v>1</v>
      </c>
      <c r="CS44" s="4" t="s">
        <v>1</v>
      </c>
      <c r="CT44" s="4" t="s">
        <v>1</v>
      </c>
      <c r="CU44" s="4" t="s">
        <v>1</v>
      </c>
      <c r="CV44" t="s">
        <v>855</v>
      </c>
      <c r="CW44">
        <v>100</v>
      </c>
      <c r="CX44">
        <v>0</v>
      </c>
      <c r="CY44">
        <v>30</v>
      </c>
      <c r="CZ44" s="26" t="s">
        <v>1358</v>
      </c>
      <c r="DA44" t="s">
        <v>734</v>
      </c>
      <c r="DB44">
        <v>81.8</v>
      </c>
      <c r="DC44">
        <v>0</v>
      </c>
      <c r="DD44">
        <v>30</v>
      </c>
      <c r="DE44" s="26" t="s">
        <v>1358</v>
      </c>
      <c r="DF44" t="s">
        <v>735</v>
      </c>
      <c r="DG44">
        <v>9.6999999999999993</v>
      </c>
      <c r="DH44">
        <v>0</v>
      </c>
      <c r="DI44">
        <v>30</v>
      </c>
      <c r="DJ44" s="26" t="s">
        <v>1358</v>
      </c>
      <c r="DK44" t="s">
        <v>736</v>
      </c>
      <c r="DL44">
        <v>8.5</v>
      </c>
      <c r="DM44">
        <v>0</v>
      </c>
      <c r="DN44">
        <v>30</v>
      </c>
      <c r="DO44" s="26" t="s">
        <v>1358</v>
      </c>
      <c r="DP44" t="s">
        <v>6</v>
      </c>
      <c r="DQ44" t="s">
        <v>814</v>
      </c>
      <c r="DR44">
        <v>6.5</v>
      </c>
      <c r="DS44">
        <v>0</v>
      </c>
      <c r="DT44">
        <v>30</v>
      </c>
      <c r="DU44" s="26" t="s">
        <v>1358</v>
      </c>
      <c r="EA44" t="s">
        <v>982</v>
      </c>
      <c r="EB44">
        <v>26</v>
      </c>
      <c r="EC44">
        <v>0</v>
      </c>
      <c r="ED44">
        <v>30</v>
      </c>
      <c r="EE44" s="26" t="s">
        <v>1358</v>
      </c>
      <c r="EF44" s="26"/>
      <c r="FZ44" t="s">
        <v>806</v>
      </c>
      <c r="GA44">
        <v>949</v>
      </c>
      <c r="GE44" s="26" t="s">
        <v>1358</v>
      </c>
      <c r="HA44" s="5" t="s">
        <v>1</v>
      </c>
      <c r="HB44" s="4" t="s">
        <v>1</v>
      </c>
      <c r="HC44" t="s">
        <v>1</v>
      </c>
      <c r="HD44" t="s">
        <v>1</v>
      </c>
      <c r="HE44" t="s">
        <v>1</v>
      </c>
      <c r="HF44" s="5" t="s">
        <v>1063</v>
      </c>
      <c r="HG44" s="4">
        <v>2.0399999999999996</v>
      </c>
      <c r="HH44">
        <v>0</v>
      </c>
      <c r="HI44">
        <v>30</v>
      </c>
      <c r="HJ44" s="26" t="s">
        <v>1358</v>
      </c>
      <c r="HK44" t="s">
        <v>815</v>
      </c>
      <c r="HL44" s="34">
        <v>1.55</v>
      </c>
      <c r="HM44">
        <v>0</v>
      </c>
      <c r="HN44">
        <v>30</v>
      </c>
      <c r="HO44" t="s">
        <v>1448</v>
      </c>
      <c r="HP44" s="26" t="s">
        <v>1358</v>
      </c>
      <c r="HZ44" t="s">
        <v>968</v>
      </c>
      <c r="IA44">
        <v>165</v>
      </c>
      <c r="IB44" s="10" t="s">
        <v>1</v>
      </c>
      <c r="IC44" s="10"/>
      <c r="ID44" s="10"/>
      <c r="IE44" s="10" t="s">
        <v>1</v>
      </c>
      <c r="IF44" s="10" t="s">
        <v>1</v>
      </c>
      <c r="IG44" s="10"/>
      <c r="IH44" s="10"/>
      <c r="II44" s="10"/>
      <c r="IJ44" s="10"/>
      <c r="IK44" s="10"/>
      <c r="IL44" s="10"/>
      <c r="IM44" s="10"/>
      <c r="IN44" s="10"/>
      <c r="IO44" s="10"/>
      <c r="IP44" s="10"/>
      <c r="IQ44" s="10"/>
      <c r="IR44" s="10"/>
      <c r="IS44" t="s">
        <v>1</v>
      </c>
      <c r="IT44" t="s">
        <v>1</v>
      </c>
      <c r="IW44" t="s">
        <v>1</v>
      </c>
      <c r="IX44" t="s">
        <v>1</v>
      </c>
      <c r="IY44" t="s">
        <v>1</v>
      </c>
      <c r="IZ44" t="s">
        <v>1</v>
      </c>
      <c r="JA44" t="s">
        <v>1</v>
      </c>
      <c r="JB44" s="4" t="s">
        <v>1</v>
      </c>
      <c r="JC44" t="s">
        <v>1</v>
      </c>
      <c r="JD44" s="4" t="s">
        <v>1</v>
      </c>
      <c r="JE44" t="s">
        <v>1</v>
      </c>
      <c r="JF44" t="s">
        <v>1</v>
      </c>
      <c r="JR44" t="s">
        <v>1066</v>
      </c>
      <c r="JS44">
        <v>106.2</v>
      </c>
      <c r="JU44" t="s">
        <v>1</v>
      </c>
      <c r="JW44" t="s">
        <v>1</v>
      </c>
      <c r="JX44">
        <v>0</v>
      </c>
      <c r="JY44">
        <v>150</v>
      </c>
      <c r="JZ44" t="s">
        <v>796</v>
      </c>
      <c r="KA44" t="s">
        <v>46</v>
      </c>
      <c r="KB44" t="s">
        <v>738</v>
      </c>
      <c r="KC44" t="s">
        <v>1</v>
      </c>
      <c r="KD44" t="s">
        <v>1</v>
      </c>
      <c r="KE44" t="s">
        <v>1</v>
      </c>
      <c r="KF44" t="s">
        <v>1</v>
      </c>
      <c r="KG44" t="s">
        <v>1</v>
      </c>
      <c r="KH44" t="s">
        <v>1</v>
      </c>
      <c r="KI44" t="s">
        <v>1</v>
      </c>
      <c r="KJ44" t="s">
        <v>1</v>
      </c>
      <c r="KK44" t="s">
        <v>1</v>
      </c>
    </row>
    <row r="45" spans="1:297" x14ac:dyDescent="0.2">
      <c r="A45">
        <v>44</v>
      </c>
      <c r="B45" t="s">
        <v>705</v>
      </c>
      <c r="C45" t="s">
        <v>59</v>
      </c>
      <c r="D45" t="s">
        <v>44</v>
      </c>
      <c r="E45">
        <v>5</v>
      </c>
      <c r="F45" t="s">
        <v>1297</v>
      </c>
      <c r="G45" t="s">
        <v>1</v>
      </c>
      <c r="H45" s="26" t="s">
        <v>1420</v>
      </c>
      <c r="I45" t="s">
        <v>1</v>
      </c>
      <c r="J45" t="s">
        <v>1</v>
      </c>
      <c r="K45" t="s">
        <v>1</v>
      </c>
      <c r="L45" t="s">
        <v>1</v>
      </c>
      <c r="M45" t="s">
        <v>1</v>
      </c>
      <c r="N45" t="s">
        <v>1</v>
      </c>
      <c r="O45" t="s">
        <v>1</v>
      </c>
      <c r="P45" t="s">
        <v>1</v>
      </c>
      <c r="Q45" t="s">
        <v>1</v>
      </c>
      <c r="R45" t="s">
        <v>1</v>
      </c>
      <c r="S45" t="s">
        <v>1</v>
      </c>
      <c r="T45" t="s">
        <v>1</v>
      </c>
      <c r="U45" t="s">
        <v>1</v>
      </c>
      <c r="V45" t="s">
        <v>1</v>
      </c>
      <c r="W45" t="s">
        <v>1</v>
      </c>
      <c r="X45" t="s">
        <v>1</v>
      </c>
      <c r="Y45" t="s">
        <v>1</v>
      </c>
      <c r="Z45" t="s">
        <v>1</v>
      </c>
      <c r="AA45" t="s">
        <v>1</v>
      </c>
      <c r="AB45" t="s">
        <v>1</v>
      </c>
      <c r="AC45" t="s">
        <v>1</v>
      </c>
      <c r="AD45" t="s">
        <v>1</v>
      </c>
      <c r="AE45" t="s">
        <v>1</v>
      </c>
      <c r="AF45" t="s">
        <v>1</v>
      </c>
      <c r="AG45" t="s">
        <v>1</v>
      </c>
      <c r="AH45" t="s">
        <v>1</v>
      </c>
      <c r="AI45" t="s">
        <v>1</v>
      </c>
      <c r="AJ45" t="s">
        <v>1</v>
      </c>
      <c r="AK45" t="s">
        <v>1</v>
      </c>
      <c r="AL45" t="s">
        <v>1</v>
      </c>
      <c r="AM45" t="s">
        <v>1</v>
      </c>
      <c r="AN45">
        <v>44</v>
      </c>
      <c r="AO45">
        <f t="shared" si="2"/>
        <v>44</v>
      </c>
      <c r="AP45">
        <f t="shared" si="0"/>
        <v>5</v>
      </c>
      <c r="AQ45">
        <f t="shared" si="1"/>
        <v>5</v>
      </c>
      <c r="AR45" s="26" t="s">
        <v>1355</v>
      </c>
      <c r="AS45" s="26" t="s">
        <v>1356</v>
      </c>
      <c r="AT45" t="s">
        <v>709</v>
      </c>
      <c r="AU45" t="s">
        <v>1</v>
      </c>
      <c r="AV45" t="s">
        <v>1</v>
      </c>
      <c r="AW45">
        <v>55.47</v>
      </c>
      <c r="AX45">
        <v>9.1</v>
      </c>
      <c r="AY45" t="s">
        <v>737</v>
      </c>
      <c r="BA45" s="3">
        <v>2</v>
      </c>
      <c r="BB45" s="3"/>
      <c r="BC45" s="3"/>
      <c r="BD45" s="3"/>
      <c r="BE45" s="3"/>
      <c r="BF45">
        <v>1989</v>
      </c>
      <c r="BG45" s="24" t="s">
        <v>733</v>
      </c>
      <c r="BH45" s="24" t="s">
        <v>733</v>
      </c>
      <c r="BI45" s="24" t="s">
        <v>733</v>
      </c>
      <c r="BJ45" s="24" t="s">
        <v>732</v>
      </c>
      <c r="BK45" s="24" t="s">
        <v>733</v>
      </c>
      <c r="BL45" s="25" t="s">
        <v>733</v>
      </c>
      <c r="BM45" s="24" t="s">
        <v>733</v>
      </c>
      <c r="BN45" s="24" t="s">
        <v>732</v>
      </c>
      <c r="BO45" s="24" t="s">
        <v>733</v>
      </c>
      <c r="BP45" s="24" t="s">
        <v>733</v>
      </c>
      <c r="BQ45" s="24" t="s">
        <v>945</v>
      </c>
      <c r="BR45" s="24" t="s">
        <v>945</v>
      </c>
      <c r="BS45" s="25" t="s">
        <v>934</v>
      </c>
      <c r="BT45" s="24" t="s">
        <v>934</v>
      </c>
      <c r="BU45" s="24" t="s">
        <v>934</v>
      </c>
      <c r="BV45" s="24" t="s">
        <v>934</v>
      </c>
      <c r="BW45" s="24" t="s">
        <v>934</v>
      </c>
      <c r="BX45" s="24" t="s">
        <v>934</v>
      </c>
      <c r="BY45" s="25" t="s">
        <v>945</v>
      </c>
      <c r="BZ45" t="s">
        <v>1398</v>
      </c>
      <c r="CB45" t="s">
        <v>1</v>
      </c>
      <c r="CC45" s="4">
        <f>448*10</f>
        <v>4480</v>
      </c>
      <c r="CD45" s="4"/>
      <c r="CE45" s="4"/>
      <c r="CF45" t="s">
        <v>793</v>
      </c>
      <c r="CG45">
        <v>100</v>
      </c>
      <c r="CH45" t="s">
        <v>805</v>
      </c>
      <c r="CI45" s="28">
        <v>1.5</v>
      </c>
      <c r="CJ45" s="10" t="s">
        <v>1442</v>
      </c>
      <c r="CK45" t="s">
        <v>807</v>
      </c>
      <c r="CL45" s="4">
        <f>462*10</f>
        <v>4620</v>
      </c>
      <c r="CM45" t="s">
        <v>847</v>
      </c>
      <c r="CN45" s="4">
        <f>10.2*10</f>
        <v>102</v>
      </c>
      <c r="CO45" s="4"/>
      <c r="CP45" s="4" t="s">
        <v>1</v>
      </c>
      <c r="CQ45" s="4" t="s">
        <v>1</v>
      </c>
      <c r="CR45" s="4" t="s">
        <v>1</v>
      </c>
      <c r="CS45" s="4" t="s">
        <v>1</v>
      </c>
      <c r="CT45" s="4" t="s">
        <v>1</v>
      </c>
      <c r="CU45" s="4" t="s">
        <v>1</v>
      </c>
      <c r="CV45" t="s">
        <v>855</v>
      </c>
      <c r="CW45">
        <v>100</v>
      </c>
      <c r="CX45">
        <v>0</v>
      </c>
      <c r="CY45">
        <v>30</v>
      </c>
      <c r="CZ45" s="26" t="s">
        <v>1358</v>
      </c>
      <c r="DA45" t="s">
        <v>734</v>
      </c>
      <c r="DB45">
        <v>81.8</v>
      </c>
      <c r="DC45">
        <v>0</v>
      </c>
      <c r="DD45">
        <v>30</v>
      </c>
      <c r="DE45" s="26" t="s">
        <v>1358</v>
      </c>
      <c r="DF45" t="s">
        <v>735</v>
      </c>
      <c r="DG45">
        <v>9.6999999999999993</v>
      </c>
      <c r="DH45">
        <v>0</v>
      </c>
      <c r="DI45">
        <v>30</v>
      </c>
      <c r="DJ45" s="26" t="s">
        <v>1358</v>
      </c>
      <c r="DK45" t="s">
        <v>736</v>
      </c>
      <c r="DL45">
        <v>8.5</v>
      </c>
      <c r="DM45">
        <v>0</v>
      </c>
      <c r="DN45">
        <v>30</v>
      </c>
      <c r="DO45" s="26" t="s">
        <v>1358</v>
      </c>
      <c r="DP45" t="s">
        <v>6</v>
      </c>
      <c r="DQ45" t="s">
        <v>814</v>
      </c>
      <c r="DR45">
        <v>6.5</v>
      </c>
      <c r="DS45">
        <v>0</v>
      </c>
      <c r="DT45">
        <v>30</v>
      </c>
      <c r="DU45" s="26" t="s">
        <v>1358</v>
      </c>
      <c r="EA45" t="s">
        <v>982</v>
      </c>
      <c r="EB45">
        <v>26</v>
      </c>
      <c r="EC45">
        <v>0</v>
      </c>
      <c r="ED45">
        <v>30</v>
      </c>
      <c r="EE45" s="26" t="s">
        <v>1358</v>
      </c>
      <c r="EF45" s="26"/>
      <c r="FZ45" t="s">
        <v>806</v>
      </c>
      <c r="GA45">
        <v>949</v>
      </c>
      <c r="GE45" s="26" t="s">
        <v>1358</v>
      </c>
      <c r="HA45" s="5" t="s">
        <v>1</v>
      </c>
      <c r="HB45" s="4" t="s">
        <v>1</v>
      </c>
      <c r="HC45" t="s">
        <v>1</v>
      </c>
      <c r="HD45" t="s">
        <v>1</v>
      </c>
      <c r="HE45" t="s">
        <v>1</v>
      </c>
      <c r="HF45" s="5" t="s">
        <v>1063</v>
      </c>
      <c r="HG45" s="4">
        <v>2.0399999999999996</v>
      </c>
      <c r="HH45">
        <v>0</v>
      </c>
      <c r="HI45">
        <v>30</v>
      </c>
      <c r="HJ45" s="26" t="s">
        <v>1358</v>
      </c>
      <c r="HK45" t="s">
        <v>815</v>
      </c>
      <c r="HL45" s="34">
        <v>1.55</v>
      </c>
      <c r="HM45">
        <v>0</v>
      </c>
      <c r="HN45">
        <v>30</v>
      </c>
      <c r="HO45" t="s">
        <v>1448</v>
      </c>
      <c r="HP45" s="26" t="s">
        <v>1358</v>
      </c>
      <c r="HZ45" t="s">
        <v>1</v>
      </c>
      <c r="IA45" t="s">
        <v>1</v>
      </c>
      <c r="IB45" s="10" t="s">
        <v>1</v>
      </c>
      <c r="IC45" s="10"/>
      <c r="ID45" s="10"/>
      <c r="IE45" s="10" t="s">
        <v>1</v>
      </c>
      <c r="IF45" s="10" t="s">
        <v>1</v>
      </c>
      <c r="IG45" s="10"/>
      <c r="IH45" s="10"/>
      <c r="II45" s="10"/>
      <c r="IJ45" s="10"/>
      <c r="IK45" s="10"/>
      <c r="IL45" s="10"/>
      <c r="IM45" s="10"/>
      <c r="IN45" s="10"/>
      <c r="IO45" s="10"/>
      <c r="IP45" s="10"/>
      <c r="IQ45" s="10"/>
      <c r="IR45" s="10"/>
      <c r="IS45" t="s">
        <v>1</v>
      </c>
      <c r="IT45" t="s">
        <v>1</v>
      </c>
      <c r="IW45" t="s">
        <v>979</v>
      </c>
      <c r="IX45">
        <v>193</v>
      </c>
      <c r="IY45" t="s">
        <v>1</v>
      </c>
      <c r="IZ45" t="s">
        <v>1</v>
      </c>
      <c r="JA45" t="s">
        <v>1</v>
      </c>
      <c r="JB45" s="4" t="s">
        <v>1</v>
      </c>
      <c r="JC45" t="s">
        <v>1</v>
      </c>
      <c r="JD45" s="4" t="s">
        <v>1</v>
      </c>
      <c r="JE45" t="s">
        <v>1</v>
      </c>
      <c r="JF45" t="s">
        <v>1</v>
      </c>
      <c r="JR45" t="s">
        <v>1066</v>
      </c>
      <c r="JS45">
        <v>194.8</v>
      </c>
      <c r="JU45" t="s">
        <v>1</v>
      </c>
      <c r="JW45" t="s">
        <v>1</v>
      </c>
      <c r="JX45">
        <v>0</v>
      </c>
      <c r="JY45">
        <v>150</v>
      </c>
      <c r="JZ45" t="s">
        <v>796</v>
      </c>
      <c r="KA45" t="s">
        <v>46</v>
      </c>
      <c r="KB45" t="s">
        <v>738</v>
      </c>
      <c r="KC45" t="s">
        <v>1</v>
      </c>
      <c r="KD45" t="s">
        <v>1</v>
      </c>
      <c r="KE45" t="s">
        <v>1</v>
      </c>
      <c r="KF45" t="s">
        <v>1</v>
      </c>
      <c r="KG45" t="s">
        <v>1</v>
      </c>
      <c r="KH45" t="s">
        <v>1</v>
      </c>
      <c r="KI45" t="s">
        <v>1</v>
      </c>
      <c r="KJ45" t="s">
        <v>1</v>
      </c>
      <c r="KK45" t="s">
        <v>1</v>
      </c>
    </row>
    <row r="46" spans="1:297" x14ac:dyDescent="0.2">
      <c r="A46">
        <v>45</v>
      </c>
      <c r="B46" t="s">
        <v>705</v>
      </c>
      <c r="C46" t="s">
        <v>60</v>
      </c>
      <c r="D46" t="s">
        <v>44</v>
      </c>
      <c r="E46">
        <v>5</v>
      </c>
      <c r="F46" t="s">
        <v>1297</v>
      </c>
      <c r="G46" t="s">
        <v>1</v>
      </c>
      <c r="H46" s="26" t="s">
        <v>1420</v>
      </c>
      <c r="I46" t="s">
        <v>1</v>
      </c>
      <c r="J46" t="s">
        <v>1</v>
      </c>
      <c r="K46" t="s">
        <v>1</v>
      </c>
      <c r="L46" t="s">
        <v>1</v>
      </c>
      <c r="M46" t="s">
        <v>1</v>
      </c>
      <c r="N46" t="s">
        <v>1</v>
      </c>
      <c r="O46" t="s">
        <v>1</v>
      </c>
      <c r="P46" t="s">
        <v>1</v>
      </c>
      <c r="Q46" t="s">
        <v>1</v>
      </c>
      <c r="R46" t="s">
        <v>1</v>
      </c>
      <c r="S46" t="s">
        <v>1</v>
      </c>
      <c r="T46" t="s">
        <v>1</v>
      </c>
      <c r="U46" t="s">
        <v>1</v>
      </c>
      <c r="V46" t="s">
        <v>1</v>
      </c>
      <c r="W46" t="s">
        <v>1</v>
      </c>
      <c r="X46" t="s">
        <v>1</v>
      </c>
      <c r="Y46" t="s">
        <v>1</v>
      </c>
      <c r="Z46" t="s">
        <v>1</v>
      </c>
      <c r="AA46" t="s">
        <v>1</v>
      </c>
      <c r="AB46" t="s">
        <v>1</v>
      </c>
      <c r="AC46" t="s">
        <v>1</v>
      </c>
      <c r="AD46" t="s">
        <v>1</v>
      </c>
      <c r="AE46" t="s">
        <v>1</v>
      </c>
      <c r="AF46" t="s">
        <v>1</v>
      </c>
      <c r="AG46" t="s">
        <v>1</v>
      </c>
      <c r="AH46" t="s">
        <v>1</v>
      </c>
      <c r="AI46" t="s">
        <v>1</v>
      </c>
      <c r="AJ46" t="s">
        <v>1</v>
      </c>
      <c r="AK46" t="s">
        <v>1</v>
      </c>
      <c r="AL46" t="s">
        <v>1</v>
      </c>
      <c r="AM46" t="s">
        <v>1</v>
      </c>
      <c r="AN46">
        <v>45</v>
      </c>
      <c r="AO46">
        <f t="shared" si="2"/>
        <v>45</v>
      </c>
      <c r="AP46">
        <f t="shared" si="0"/>
        <v>5</v>
      </c>
      <c r="AQ46">
        <f t="shared" si="1"/>
        <v>5</v>
      </c>
      <c r="AR46" s="26" t="s">
        <v>1355</v>
      </c>
      <c r="AS46" s="26" t="s">
        <v>1356</v>
      </c>
      <c r="AT46" t="s">
        <v>709</v>
      </c>
      <c r="AU46" t="s">
        <v>1</v>
      </c>
      <c r="AV46" t="s">
        <v>1</v>
      </c>
      <c r="AW46">
        <v>55.47</v>
      </c>
      <c r="AX46">
        <v>9.1</v>
      </c>
      <c r="AY46" t="s">
        <v>737</v>
      </c>
      <c r="BA46" s="3">
        <v>2</v>
      </c>
      <c r="BB46" s="3"/>
      <c r="BC46" s="3"/>
      <c r="BD46" s="3"/>
      <c r="BE46" s="3"/>
      <c r="BF46">
        <v>1989</v>
      </c>
      <c r="BG46" s="24" t="s">
        <v>733</v>
      </c>
      <c r="BH46" s="24" t="s">
        <v>733</v>
      </c>
      <c r="BI46" s="24" t="s">
        <v>733</v>
      </c>
      <c r="BJ46" s="24" t="s">
        <v>732</v>
      </c>
      <c r="BK46" s="24" t="s">
        <v>733</v>
      </c>
      <c r="BL46" s="25" t="s">
        <v>733</v>
      </c>
      <c r="BM46" s="24" t="s">
        <v>733</v>
      </c>
      <c r="BN46" s="24" t="s">
        <v>732</v>
      </c>
      <c r="BO46" s="24" t="s">
        <v>733</v>
      </c>
      <c r="BP46" s="24" t="s">
        <v>733</v>
      </c>
      <c r="BQ46" s="24" t="s">
        <v>945</v>
      </c>
      <c r="BR46" s="24" t="s">
        <v>945</v>
      </c>
      <c r="BS46" s="25" t="s">
        <v>934</v>
      </c>
      <c r="BT46" s="24" t="s">
        <v>934</v>
      </c>
      <c r="BU46" s="24" t="s">
        <v>934</v>
      </c>
      <c r="BV46" s="24" t="s">
        <v>934</v>
      </c>
      <c r="BW46" s="24" t="s">
        <v>934</v>
      </c>
      <c r="BX46" s="24" t="s">
        <v>934</v>
      </c>
      <c r="BY46" s="25" t="s">
        <v>945</v>
      </c>
      <c r="BZ46" t="s">
        <v>1398</v>
      </c>
      <c r="CB46" t="s">
        <v>61</v>
      </c>
      <c r="CC46" s="4">
        <f>584*10</f>
        <v>5840</v>
      </c>
      <c r="CD46" s="4"/>
      <c r="CE46" s="4"/>
      <c r="CF46" t="s">
        <v>793</v>
      </c>
      <c r="CG46">
        <v>100</v>
      </c>
      <c r="CH46" t="s">
        <v>805</v>
      </c>
      <c r="CI46" s="28">
        <v>1.5</v>
      </c>
      <c r="CJ46" s="10" t="s">
        <v>1442</v>
      </c>
      <c r="CK46" t="s">
        <v>807</v>
      </c>
      <c r="CL46" s="4">
        <f>530*10</f>
        <v>5300</v>
      </c>
      <c r="CM46" t="s">
        <v>847</v>
      </c>
      <c r="CN46" s="4">
        <f>13.3*10</f>
        <v>133</v>
      </c>
      <c r="CO46" s="4"/>
      <c r="CP46" s="4" t="s">
        <v>1</v>
      </c>
      <c r="CQ46" s="4" t="s">
        <v>1</v>
      </c>
      <c r="CR46" s="4" t="s">
        <v>1</v>
      </c>
      <c r="CS46" s="4" t="s">
        <v>1</v>
      </c>
      <c r="CT46" s="4" t="s">
        <v>1</v>
      </c>
      <c r="CU46" s="4" t="s">
        <v>1</v>
      </c>
      <c r="CV46" t="s">
        <v>855</v>
      </c>
      <c r="CW46">
        <v>100</v>
      </c>
      <c r="CX46">
        <v>0</v>
      </c>
      <c r="CY46">
        <v>30</v>
      </c>
      <c r="CZ46" s="26" t="s">
        <v>1358</v>
      </c>
      <c r="DA46" t="s">
        <v>734</v>
      </c>
      <c r="DB46">
        <v>81.8</v>
      </c>
      <c r="DC46">
        <v>0</v>
      </c>
      <c r="DD46">
        <v>30</v>
      </c>
      <c r="DE46" s="26" t="s">
        <v>1358</v>
      </c>
      <c r="DF46" t="s">
        <v>735</v>
      </c>
      <c r="DG46">
        <v>9.6999999999999993</v>
      </c>
      <c r="DH46">
        <v>0</v>
      </c>
      <c r="DI46">
        <v>30</v>
      </c>
      <c r="DJ46" s="26" t="s">
        <v>1358</v>
      </c>
      <c r="DK46" t="s">
        <v>736</v>
      </c>
      <c r="DL46">
        <v>8.5</v>
      </c>
      <c r="DM46">
        <v>0</v>
      </c>
      <c r="DN46">
        <v>30</v>
      </c>
      <c r="DO46" s="26" t="s">
        <v>1358</v>
      </c>
      <c r="DP46" t="s">
        <v>6</v>
      </c>
      <c r="DQ46" t="s">
        <v>814</v>
      </c>
      <c r="DR46">
        <v>6.5</v>
      </c>
      <c r="DS46">
        <v>0</v>
      </c>
      <c r="DT46">
        <v>30</v>
      </c>
      <c r="DU46" s="26" t="s">
        <v>1358</v>
      </c>
      <c r="EA46" t="s">
        <v>982</v>
      </c>
      <c r="EB46">
        <v>26</v>
      </c>
      <c r="EC46">
        <v>0</v>
      </c>
      <c r="ED46">
        <v>30</v>
      </c>
      <c r="EE46" s="26" t="s">
        <v>1358</v>
      </c>
      <c r="EF46" s="26"/>
      <c r="FZ46" t="s">
        <v>806</v>
      </c>
      <c r="GA46">
        <v>949</v>
      </c>
      <c r="GE46" s="26" t="s">
        <v>1358</v>
      </c>
      <c r="HA46" s="5" t="s">
        <v>1</v>
      </c>
      <c r="HB46" s="4" t="s">
        <v>1</v>
      </c>
      <c r="HC46" t="s">
        <v>1</v>
      </c>
      <c r="HD46" t="s">
        <v>1</v>
      </c>
      <c r="HE46" t="s">
        <v>1</v>
      </c>
      <c r="HF46" s="5" t="s">
        <v>1063</v>
      </c>
      <c r="HG46" s="4">
        <v>2.0399999999999996</v>
      </c>
      <c r="HH46">
        <v>0</v>
      </c>
      <c r="HI46">
        <v>30</v>
      </c>
      <c r="HJ46" s="26" t="s">
        <v>1358</v>
      </c>
      <c r="HK46" t="s">
        <v>815</v>
      </c>
      <c r="HL46" s="34">
        <v>1.55</v>
      </c>
      <c r="HM46">
        <v>0</v>
      </c>
      <c r="HN46">
        <v>30</v>
      </c>
      <c r="HO46" t="s">
        <v>1448</v>
      </c>
      <c r="HP46" s="26" t="s">
        <v>1358</v>
      </c>
      <c r="HZ46" t="s">
        <v>1</v>
      </c>
      <c r="IA46" t="s">
        <v>1</v>
      </c>
      <c r="IB46" s="10" t="s">
        <v>1</v>
      </c>
      <c r="IC46" s="10"/>
      <c r="ID46" s="10"/>
      <c r="IE46" s="10" t="s">
        <v>1</v>
      </c>
      <c r="IF46" s="10" t="s">
        <v>1</v>
      </c>
      <c r="IG46" s="10"/>
      <c r="IH46" s="10"/>
      <c r="II46" s="10"/>
      <c r="IJ46" s="10"/>
      <c r="IK46" s="10"/>
      <c r="IL46" s="10"/>
      <c r="IM46" s="10"/>
      <c r="IN46" s="10"/>
      <c r="IO46" s="10"/>
      <c r="IP46" s="10"/>
      <c r="IQ46" s="10"/>
      <c r="IR46" s="10"/>
      <c r="IS46" t="s">
        <v>1</v>
      </c>
      <c r="IT46" t="s">
        <v>1</v>
      </c>
      <c r="IW46" t="s">
        <v>979</v>
      </c>
      <c r="IX46">
        <v>289</v>
      </c>
      <c r="IY46" t="s">
        <v>1</v>
      </c>
      <c r="IZ46" t="s">
        <v>1</v>
      </c>
      <c r="JA46" t="s">
        <v>1</v>
      </c>
      <c r="JB46" s="4" t="s">
        <v>1</v>
      </c>
      <c r="JC46" t="s">
        <v>1</v>
      </c>
      <c r="JD46" s="4" t="s">
        <v>1</v>
      </c>
      <c r="JE46" t="s">
        <v>1</v>
      </c>
      <c r="JF46" t="s">
        <v>1</v>
      </c>
      <c r="JR46" t="s">
        <v>1066</v>
      </c>
      <c r="JS46">
        <v>208.1</v>
      </c>
      <c r="JU46" t="s">
        <v>1</v>
      </c>
      <c r="JW46" t="s">
        <v>1</v>
      </c>
      <c r="JX46">
        <v>0</v>
      </c>
      <c r="JY46">
        <v>150</v>
      </c>
      <c r="JZ46" t="s">
        <v>796</v>
      </c>
      <c r="KA46" t="s">
        <v>46</v>
      </c>
      <c r="KB46" t="s">
        <v>738</v>
      </c>
      <c r="KC46" t="s">
        <v>1</v>
      </c>
      <c r="KD46" t="s">
        <v>1</v>
      </c>
      <c r="KE46" t="s">
        <v>1</v>
      </c>
      <c r="KF46" t="s">
        <v>1</v>
      </c>
      <c r="KG46" t="s">
        <v>1</v>
      </c>
      <c r="KH46" t="s">
        <v>1</v>
      </c>
      <c r="KI46" t="s">
        <v>1</v>
      </c>
      <c r="KJ46" t="s">
        <v>1</v>
      </c>
      <c r="KK46" t="s">
        <v>1</v>
      </c>
    </row>
    <row r="47" spans="1:297" x14ac:dyDescent="0.2">
      <c r="A47">
        <v>46</v>
      </c>
      <c r="B47" t="s">
        <v>705</v>
      </c>
      <c r="C47" t="s">
        <v>45</v>
      </c>
      <c r="D47" t="s">
        <v>44</v>
      </c>
      <c r="E47">
        <v>5</v>
      </c>
      <c r="F47" t="s">
        <v>1297</v>
      </c>
      <c r="G47" t="s">
        <v>1</v>
      </c>
      <c r="H47" s="26" t="s">
        <v>1420</v>
      </c>
      <c r="I47" t="s">
        <v>1</v>
      </c>
      <c r="J47" t="s">
        <v>1</v>
      </c>
      <c r="K47" t="s">
        <v>1</v>
      </c>
      <c r="L47" t="s">
        <v>1</v>
      </c>
      <c r="M47" t="s">
        <v>1</v>
      </c>
      <c r="N47" t="s">
        <v>1</v>
      </c>
      <c r="O47" t="s">
        <v>1</v>
      </c>
      <c r="P47" t="s">
        <v>1</v>
      </c>
      <c r="Q47" t="s">
        <v>1</v>
      </c>
      <c r="R47" t="s">
        <v>1</v>
      </c>
      <c r="S47" t="s">
        <v>1</v>
      </c>
      <c r="T47" t="s">
        <v>1</v>
      </c>
      <c r="U47" t="s">
        <v>1</v>
      </c>
      <c r="V47" t="s">
        <v>1</v>
      </c>
      <c r="W47" t="s">
        <v>1</v>
      </c>
      <c r="X47" t="s">
        <v>1</v>
      </c>
      <c r="Y47" t="s">
        <v>1</v>
      </c>
      <c r="Z47" t="s">
        <v>1</v>
      </c>
      <c r="AA47" t="s">
        <v>1</v>
      </c>
      <c r="AB47" t="s">
        <v>1</v>
      </c>
      <c r="AC47" t="s">
        <v>1</v>
      </c>
      <c r="AD47" t="s">
        <v>1</v>
      </c>
      <c r="AE47" t="s">
        <v>1</v>
      </c>
      <c r="AF47" t="s">
        <v>1</v>
      </c>
      <c r="AG47" t="s">
        <v>1</v>
      </c>
      <c r="AH47" t="s">
        <v>1</v>
      </c>
      <c r="AI47" t="s">
        <v>1</v>
      </c>
      <c r="AJ47" t="s">
        <v>1</v>
      </c>
      <c r="AK47" t="s">
        <v>1</v>
      </c>
      <c r="AL47" t="s">
        <v>1</v>
      </c>
      <c r="AM47" t="s">
        <v>1</v>
      </c>
      <c r="AN47">
        <v>46</v>
      </c>
      <c r="AO47">
        <f t="shared" si="2"/>
        <v>46</v>
      </c>
      <c r="AP47">
        <f t="shared" si="0"/>
        <v>5</v>
      </c>
      <c r="AQ47">
        <f t="shared" si="1"/>
        <v>5</v>
      </c>
      <c r="AR47" s="26" t="s">
        <v>1355</v>
      </c>
      <c r="AS47" s="26" t="s">
        <v>1356</v>
      </c>
      <c r="AT47" t="s">
        <v>709</v>
      </c>
      <c r="AU47" t="s">
        <v>1</v>
      </c>
      <c r="AV47" t="s">
        <v>1</v>
      </c>
      <c r="AW47">
        <v>55.47</v>
      </c>
      <c r="AX47">
        <v>9.1</v>
      </c>
      <c r="AY47" t="s">
        <v>737</v>
      </c>
      <c r="BA47" s="3">
        <v>2</v>
      </c>
      <c r="BB47" s="3"/>
      <c r="BC47" s="3"/>
      <c r="BD47" s="3"/>
      <c r="BE47" s="3"/>
      <c r="BF47">
        <v>1989</v>
      </c>
      <c r="BG47" s="24" t="s">
        <v>733</v>
      </c>
      <c r="BH47" s="24" t="s">
        <v>733</v>
      </c>
      <c r="BI47" s="24" t="s">
        <v>733</v>
      </c>
      <c r="BJ47" s="24" t="s">
        <v>732</v>
      </c>
      <c r="BK47" s="24" t="s">
        <v>733</v>
      </c>
      <c r="BL47" s="25" t="s">
        <v>733</v>
      </c>
      <c r="BM47" s="24" t="s">
        <v>733</v>
      </c>
      <c r="BN47" s="24" t="s">
        <v>732</v>
      </c>
      <c r="BO47" s="24" t="s">
        <v>733</v>
      </c>
      <c r="BP47" s="24" t="s">
        <v>733</v>
      </c>
      <c r="BQ47" s="24" t="s">
        <v>945</v>
      </c>
      <c r="BR47" s="24" t="s">
        <v>945</v>
      </c>
      <c r="BS47" s="25" t="s">
        <v>934</v>
      </c>
      <c r="BT47" s="24" t="s">
        <v>934</v>
      </c>
      <c r="BU47" s="24" t="s">
        <v>934</v>
      </c>
      <c r="BV47" s="24" t="s">
        <v>934</v>
      </c>
      <c r="BW47" s="24" t="s">
        <v>934</v>
      </c>
      <c r="BX47" s="24" t="s">
        <v>934</v>
      </c>
      <c r="BY47" s="25" t="s">
        <v>945</v>
      </c>
      <c r="BZ47" t="s">
        <v>62</v>
      </c>
      <c r="CB47" t="s">
        <v>63</v>
      </c>
      <c r="CC47" s="4">
        <f>148*10</f>
        <v>1480</v>
      </c>
      <c r="CD47" s="4"/>
      <c r="CE47" s="4"/>
      <c r="CF47" t="s">
        <v>793</v>
      </c>
      <c r="CG47">
        <v>100</v>
      </c>
      <c r="CH47" t="s">
        <v>805</v>
      </c>
      <c r="CI47" s="28">
        <v>1.7</v>
      </c>
      <c r="CJ47" s="10" t="s">
        <v>1442</v>
      </c>
      <c r="CK47" t="s">
        <v>807</v>
      </c>
      <c r="CL47" s="4">
        <f>192*10</f>
        <v>1920</v>
      </c>
      <c r="CM47" t="s">
        <v>847</v>
      </c>
      <c r="CN47" s="4">
        <f>3.5*10</f>
        <v>35</v>
      </c>
      <c r="CO47" s="4"/>
      <c r="CP47" s="4" t="s">
        <v>1</v>
      </c>
      <c r="CQ47" s="4" t="s">
        <v>1</v>
      </c>
      <c r="CR47" s="4" t="s">
        <v>1</v>
      </c>
      <c r="CS47" s="4" t="s">
        <v>1</v>
      </c>
      <c r="CT47" s="4" t="s">
        <v>1</v>
      </c>
      <c r="CU47" s="4" t="s">
        <v>1</v>
      </c>
      <c r="CV47" t="s">
        <v>855</v>
      </c>
      <c r="CW47">
        <v>100</v>
      </c>
      <c r="CX47">
        <v>0</v>
      </c>
      <c r="CY47">
        <v>30</v>
      </c>
      <c r="CZ47" s="26" t="s">
        <v>1358</v>
      </c>
      <c r="DA47" t="s">
        <v>734</v>
      </c>
      <c r="DB47">
        <v>81.8</v>
      </c>
      <c r="DC47">
        <v>0</v>
      </c>
      <c r="DD47">
        <v>30</v>
      </c>
      <c r="DE47" s="26" t="s">
        <v>1358</v>
      </c>
      <c r="DF47" t="s">
        <v>735</v>
      </c>
      <c r="DG47">
        <v>9.6999999999999993</v>
      </c>
      <c r="DH47">
        <v>0</v>
      </c>
      <c r="DI47">
        <v>30</v>
      </c>
      <c r="DJ47" s="26" t="s">
        <v>1358</v>
      </c>
      <c r="DK47" t="s">
        <v>736</v>
      </c>
      <c r="DL47">
        <v>8.5</v>
      </c>
      <c r="DM47">
        <v>0</v>
      </c>
      <c r="DN47">
        <v>30</v>
      </c>
      <c r="DO47" s="26" t="s">
        <v>1358</v>
      </c>
      <c r="DP47" t="s">
        <v>6</v>
      </c>
      <c r="DQ47" t="s">
        <v>814</v>
      </c>
      <c r="DR47">
        <v>6.5</v>
      </c>
      <c r="DS47">
        <v>0</v>
      </c>
      <c r="DT47">
        <v>30</v>
      </c>
      <c r="DU47" s="26" t="s">
        <v>1358</v>
      </c>
      <c r="EA47" t="s">
        <v>982</v>
      </c>
      <c r="EB47">
        <v>26</v>
      </c>
      <c r="EC47">
        <v>0</v>
      </c>
      <c r="ED47">
        <v>30</v>
      </c>
      <c r="EE47" s="26" t="s">
        <v>1358</v>
      </c>
      <c r="EF47" s="26"/>
      <c r="FZ47" t="s">
        <v>806</v>
      </c>
      <c r="GA47">
        <v>949</v>
      </c>
      <c r="GE47" s="26" t="s">
        <v>1358</v>
      </c>
      <c r="HA47" s="5" t="s">
        <v>1</v>
      </c>
      <c r="HB47" s="4" t="s">
        <v>1</v>
      </c>
      <c r="HC47" t="s">
        <v>1</v>
      </c>
      <c r="HD47" t="s">
        <v>1</v>
      </c>
      <c r="HE47" t="s">
        <v>1</v>
      </c>
      <c r="HF47" s="5" t="s">
        <v>1063</v>
      </c>
      <c r="HG47" s="4">
        <v>2.0399999999999996</v>
      </c>
      <c r="HH47">
        <v>0</v>
      </c>
      <c r="HI47">
        <v>30</v>
      </c>
      <c r="HJ47" s="26" t="s">
        <v>1358</v>
      </c>
      <c r="HK47" t="s">
        <v>815</v>
      </c>
      <c r="HL47" s="34">
        <v>1.55</v>
      </c>
      <c r="HM47">
        <v>0</v>
      </c>
      <c r="HN47">
        <v>30</v>
      </c>
      <c r="HO47" t="s">
        <v>1448</v>
      </c>
      <c r="HP47" s="26" t="s">
        <v>1358</v>
      </c>
      <c r="HZ47" t="s">
        <v>1</v>
      </c>
      <c r="IA47" t="s">
        <v>1</v>
      </c>
      <c r="IB47" s="10" t="s">
        <v>1</v>
      </c>
      <c r="IC47" s="10"/>
      <c r="ID47" s="10"/>
      <c r="IE47" s="10" t="s">
        <v>1</v>
      </c>
      <c r="IF47" s="10" t="s">
        <v>1</v>
      </c>
      <c r="IG47" s="10"/>
      <c r="IH47" s="10"/>
      <c r="II47" s="10"/>
      <c r="IJ47" s="10"/>
      <c r="IK47" s="10"/>
      <c r="IL47" s="10"/>
      <c r="IM47" s="10"/>
      <c r="IN47" s="10"/>
      <c r="IO47" s="10"/>
      <c r="IP47" s="10"/>
      <c r="IQ47" s="10"/>
      <c r="IR47" s="10"/>
      <c r="IS47" t="s">
        <v>1</v>
      </c>
      <c r="IT47" t="s">
        <v>1</v>
      </c>
      <c r="IW47" t="s">
        <v>1</v>
      </c>
      <c r="IX47" t="s">
        <v>1</v>
      </c>
      <c r="IY47" t="s">
        <v>1</v>
      </c>
      <c r="IZ47" t="s">
        <v>1</v>
      </c>
      <c r="JA47" t="s">
        <v>1</v>
      </c>
      <c r="JB47" s="4" t="s">
        <v>1</v>
      </c>
      <c r="JC47" t="s">
        <v>1</v>
      </c>
      <c r="JD47" s="4" t="s">
        <v>1</v>
      </c>
      <c r="JE47" t="s">
        <v>1</v>
      </c>
      <c r="JF47" t="s">
        <v>1</v>
      </c>
      <c r="JR47" t="s">
        <v>1066</v>
      </c>
      <c r="JS47">
        <v>137.19999999999999</v>
      </c>
      <c r="JU47" t="s">
        <v>1</v>
      </c>
      <c r="JW47" t="s">
        <v>1</v>
      </c>
      <c r="JX47">
        <v>0</v>
      </c>
      <c r="JY47">
        <v>150</v>
      </c>
      <c r="JZ47" t="s">
        <v>796</v>
      </c>
      <c r="KA47" t="s">
        <v>46</v>
      </c>
      <c r="KB47" t="s">
        <v>738</v>
      </c>
      <c r="KC47" t="s">
        <v>1</v>
      </c>
      <c r="KD47" t="s">
        <v>1</v>
      </c>
      <c r="KE47" t="s">
        <v>1</v>
      </c>
      <c r="KF47" t="s">
        <v>1</v>
      </c>
      <c r="KG47" t="s">
        <v>1</v>
      </c>
      <c r="KH47" t="s">
        <v>1</v>
      </c>
      <c r="KI47" t="s">
        <v>1</v>
      </c>
      <c r="KJ47" t="s">
        <v>1</v>
      </c>
      <c r="KK47" t="s">
        <v>1</v>
      </c>
    </row>
    <row r="48" spans="1:297" x14ac:dyDescent="0.2">
      <c r="A48">
        <v>47</v>
      </c>
      <c r="B48" t="s">
        <v>705</v>
      </c>
      <c r="C48" t="s">
        <v>47</v>
      </c>
      <c r="D48" t="s">
        <v>44</v>
      </c>
      <c r="E48">
        <v>5</v>
      </c>
      <c r="F48" t="s">
        <v>1297</v>
      </c>
      <c r="G48" t="s">
        <v>1</v>
      </c>
      <c r="H48" s="26" t="s">
        <v>1420</v>
      </c>
      <c r="I48" t="s">
        <v>1</v>
      </c>
      <c r="J48" t="s">
        <v>1</v>
      </c>
      <c r="K48" t="s">
        <v>1</v>
      </c>
      <c r="L48" t="s">
        <v>1</v>
      </c>
      <c r="M48" t="s">
        <v>1</v>
      </c>
      <c r="N48" t="s">
        <v>1</v>
      </c>
      <c r="O48" t="s">
        <v>1</v>
      </c>
      <c r="P48" t="s">
        <v>1</v>
      </c>
      <c r="Q48" t="s">
        <v>1</v>
      </c>
      <c r="R48" t="s">
        <v>1</v>
      </c>
      <c r="S48" t="s">
        <v>1</v>
      </c>
      <c r="T48" t="s">
        <v>1</v>
      </c>
      <c r="U48" t="s">
        <v>1</v>
      </c>
      <c r="V48" t="s">
        <v>1</v>
      </c>
      <c r="W48" t="s">
        <v>1</v>
      </c>
      <c r="X48" t="s">
        <v>1</v>
      </c>
      <c r="Y48" t="s">
        <v>1</v>
      </c>
      <c r="Z48" t="s">
        <v>1</v>
      </c>
      <c r="AA48" t="s">
        <v>1</v>
      </c>
      <c r="AB48" t="s">
        <v>1</v>
      </c>
      <c r="AC48" t="s">
        <v>1</v>
      </c>
      <c r="AD48" t="s">
        <v>1</v>
      </c>
      <c r="AE48" t="s">
        <v>1</v>
      </c>
      <c r="AF48" t="s">
        <v>1</v>
      </c>
      <c r="AG48" t="s">
        <v>1</v>
      </c>
      <c r="AH48" t="s">
        <v>1</v>
      </c>
      <c r="AI48" t="s">
        <v>1</v>
      </c>
      <c r="AJ48" t="s">
        <v>1</v>
      </c>
      <c r="AK48" t="s">
        <v>1</v>
      </c>
      <c r="AL48" t="s">
        <v>1</v>
      </c>
      <c r="AM48" t="s">
        <v>1</v>
      </c>
      <c r="AN48">
        <v>47</v>
      </c>
      <c r="AO48">
        <f t="shared" si="2"/>
        <v>47</v>
      </c>
      <c r="AP48">
        <f t="shared" si="0"/>
        <v>5</v>
      </c>
      <c r="AQ48">
        <f t="shared" si="1"/>
        <v>5</v>
      </c>
      <c r="AR48" s="26" t="s">
        <v>1355</v>
      </c>
      <c r="AS48" s="26" t="s">
        <v>1356</v>
      </c>
      <c r="AT48" t="s">
        <v>709</v>
      </c>
      <c r="AU48" t="s">
        <v>1</v>
      </c>
      <c r="AV48" t="s">
        <v>1</v>
      </c>
      <c r="AW48">
        <v>55.47</v>
      </c>
      <c r="AX48">
        <v>9.1</v>
      </c>
      <c r="AY48" t="s">
        <v>737</v>
      </c>
      <c r="BA48" s="3">
        <v>2</v>
      </c>
      <c r="BB48" s="3"/>
      <c r="BC48" s="3"/>
      <c r="BD48" s="3"/>
      <c r="BE48" s="3"/>
      <c r="BF48">
        <v>1989</v>
      </c>
      <c r="BG48" s="24" t="s">
        <v>733</v>
      </c>
      <c r="BH48" s="24" t="s">
        <v>733</v>
      </c>
      <c r="BI48" s="24" t="s">
        <v>733</v>
      </c>
      <c r="BJ48" s="24" t="s">
        <v>732</v>
      </c>
      <c r="BK48" s="24" t="s">
        <v>733</v>
      </c>
      <c r="BL48" s="25" t="s">
        <v>733</v>
      </c>
      <c r="BM48" s="24" t="s">
        <v>733</v>
      </c>
      <c r="BN48" s="24" t="s">
        <v>732</v>
      </c>
      <c r="BO48" s="24" t="s">
        <v>733</v>
      </c>
      <c r="BP48" s="24" t="s">
        <v>733</v>
      </c>
      <c r="BQ48" s="24" t="s">
        <v>945</v>
      </c>
      <c r="BR48" s="24" t="s">
        <v>945</v>
      </c>
      <c r="BS48" s="25" t="s">
        <v>934</v>
      </c>
      <c r="BT48" s="24" t="s">
        <v>934</v>
      </c>
      <c r="BU48" s="24" t="s">
        <v>934</v>
      </c>
      <c r="BV48" s="24" t="s">
        <v>934</v>
      </c>
      <c r="BW48" s="24" t="s">
        <v>934</v>
      </c>
      <c r="BX48" s="24" t="s">
        <v>934</v>
      </c>
      <c r="BY48" s="25" t="s">
        <v>945</v>
      </c>
      <c r="BZ48" t="s">
        <v>62</v>
      </c>
      <c r="CB48" t="s">
        <v>63</v>
      </c>
      <c r="CC48" s="4">
        <f>518*10</f>
        <v>5180</v>
      </c>
      <c r="CD48" s="4"/>
      <c r="CE48" s="4"/>
      <c r="CF48" t="s">
        <v>793</v>
      </c>
      <c r="CG48">
        <v>100</v>
      </c>
      <c r="CH48" t="s">
        <v>805</v>
      </c>
      <c r="CI48" s="28">
        <v>1.7</v>
      </c>
      <c r="CJ48" s="10" t="s">
        <v>1442</v>
      </c>
      <c r="CK48" t="s">
        <v>807</v>
      </c>
      <c r="CL48" s="4">
        <f>588*10</f>
        <v>5880</v>
      </c>
      <c r="CM48" t="s">
        <v>847</v>
      </c>
      <c r="CN48" s="4">
        <f>11.9*10</f>
        <v>119</v>
      </c>
      <c r="CO48" s="4"/>
      <c r="CP48" s="4" t="s">
        <v>1</v>
      </c>
      <c r="CQ48" s="4" t="s">
        <v>1</v>
      </c>
      <c r="CR48" s="4" t="s">
        <v>1</v>
      </c>
      <c r="CS48" s="4" t="s">
        <v>1</v>
      </c>
      <c r="CT48" s="4" t="s">
        <v>1</v>
      </c>
      <c r="CU48" s="4" t="s">
        <v>1</v>
      </c>
      <c r="CV48" t="s">
        <v>855</v>
      </c>
      <c r="CW48">
        <v>100</v>
      </c>
      <c r="CX48">
        <v>0</v>
      </c>
      <c r="CY48">
        <v>30</v>
      </c>
      <c r="CZ48" s="26" t="s">
        <v>1358</v>
      </c>
      <c r="DA48" t="s">
        <v>734</v>
      </c>
      <c r="DB48">
        <v>81.8</v>
      </c>
      <c r="DC48">
        <v>0</v>
      </c>
      <c r="DD48">
        <v>30</v>
      </c>
      <c r="DE48" s="26" t="s">
        <v>1358</v>
      </c>
      <c r="DF48" t="s">
        <v>735</v>
      </c>
      <c r="DG48">
        <v>9.6999999999999993</v>
      </c>
      <c r="DH48">
        <v>0</v>
      </c>
      <c r="DI48">
        <v>30</v>
      </c>
      <c r="DJ48" s="26" t="s">
        <v>1358</v>
      </c>
      <c r="DK48" t="s">
        <v>736</v>
      </c>
      <c r="DL48">
        <v>8.5</v>
      </c>
      <c r="DM48">
        <v>0</v>
      </c>
      <c r="DN48">
        <v>30</v>
      </c>
      <c r="DO48" s="26" t="s">
        <v>1358</v>
      </c>
      <c r="DP48" t="s">
        <v>6</v>
      </c>
      <c r="DQ48" t="s">
        <v>814</v>
      </c>
      <c r="DR48">
        <v>6.5</v>
      </c>
      <c r="DS48">
        <v>0</v>
      </c>
      <c r="DT48">
        <v>30</v>
      </c>
      <c r="DU48" s="26" t="s">
        <v>1358</v>
      </c>
      <c r="EA48" t="s">
        <v>982</v>
      </c>
      <c r="EB48">
        <v>26</v>
      </c>
      <c r="EC48">
        <v>0</v>
      </c>
      <c r="ED48">
        <v>30</v>
      </c>
      <c r="EE48" s="26" t="s">
        <v>1358</v>
      </c>
      <c r="EF48" s="26"/>
      <c r="FZ48" t="s">
        <v>806</v>
      </c>
      <c r="GA48">
        <v>949</v>
      </c>
      <c r="GE48" s="26" t="s">
        <v>1358</v>
      </c>
      <c r="HA48" s="5" t="s">
        <v>1</v>
      </c>
      <c r="HB48" s="4" t="s">
        <v>1</v>
      </c>
      <c r="HC48" t="s">
        <v>1</v>
      </c>
      <c r="HD48" t="s">
        <v>1</v>
      </c>
      <c r="HE48" t="s">
        <v>1</v>
      </c>
      <c r="HF48" s="5" t="s">
        <v>1063</v>
      </c>
      <c r="HG48" s="4">
        <v>2.0399999999999996</v>
      </c>
      <c r="HH48">
        <v>0</v>
      </c>
      <c r="HI48">
        <v>30</v>
      </c>
      <c r="HJ48" s="26" t="s">
        <v>1358</v>
      </c>
      <c r="HK48" t="s">
        <v>815</v>
      </c>
      <c r="HL48" s="34">
        <v>1.55</v>
      </c>
      <c r="HM48">
        <v>0</v>
      </c>
      <c r="HN48">
        <v>30</v>
      </c>
      <c r="HO48" t="s">
        <v>1448</v>
      </c>
      <c r="HP48" s="26" t="s">
        <v>1358</v>
      </c>
      <c r="HZ48" t="s">
        <v>968</v>
      </c>
      <c r="IA48">
        <v>150</v>
      </c>
      <c r="IB48" s="10" t="s">
        <v>1</v>
      </c>
      <c r="IC48" s="10"/>
      <c r="ID48" s="10"/>
      <c r="IE48" s="10" t="s">
        <v>1</v>
      </c>
      <c r="IF48" s="10" t="s">
        <v>1</v>
      </c>
      <c r="IG48" s="10"/>
      <c r="IH48" s="10"/>
      <c r="II48" s="10"/>
      <c r="IJ48" s="10"/>
      <c r="IK48" s="10"/>
      <c r="IL48" s="10"/>
      <c r="IM48" s="10"/>
      <c r="IN48" s="10"/>
      <c r="IO48" s="10"/>
      <c r="IP48" s="10"/>
      <c r="IQ48" s="10"/>
      <c r="IR48" s="10"/>
      <c r="IS48" t="s">
        <v>1</v>
      </c>
      <c r="IT48" t="s">
        <v>1</v>
      </c>
      <c r="IW48" t="s">
        <v>1</v>
      </c>
      <c r="IX48" t="s">
        <v>1</v>
      </c>
      <c r="IY48" t="s">
        <v>1</v>
      </c>
      <c r="IZ48" t="s">
        <v>1</v>
      </c>
      <c r="JA48" t="s">
        <v>1</v>
      </c>
      <c r="JB48" s="4" t="s">
        <v>1</v>
      </c>
      <c r="JC48" t="s">
        <v>1</v>
      </c>
      <c r="JD48" s="4" t="s">
        <v>1</v>
      </c>
      <c r="JE48" t="s">
        <v>1</v>
      </c>
      <c r="JF48" t="s">
        <v>1</v>
      </c>
      <c r="JR48" t="s">
        <v>1066</v>
      </c>
      <c r="JS48">
        <v>177.1</v>
      </c>
      <c r="JU48" t="s">
        <v>1</v>
      </c>
      <c r="JW48" t="s">
        <v>1</v>
      </c>
      <c r="JX48">
        <v>0</v>
      </c>
      <c r="JY48">
        <v>150</v>
      </c>
      <c r="JZ48" t="s">
        <v>796</v>
      </c>
      <c r="KA48" t="s">
        <v>46</v>
      </c>
      <c r="KB48" t="s">
        <v>738</v>
      </c>
      <c r="KC48" t="s">
        <v>1</v>
      </c>
      <c r="KD48" t="s">
        <v>1</v>
      </c>
      <c r="KE48" t="s">
        <v>1</v>
      </c>
      <c r="KF48" t="s">
        <v>1</v>
      </c>
      <c r="KG48" t="s">
        <v>1</v>
      </c>
      <c r="KH48" t="s">
        <v>1</v>
      </c>
      <c r="KI48" t="s">
        <v>1</v>
      </c>
      <c r="KJ48" t="s">
        <v>1</v>
      </c>
      <c r="KK48" t="s">
        <v>1</v>
      </c>
    </row>
    <row r="49" spans="1:297" x14ac:dyDescent="0.2">
      <c r="A49">
        <v>48</v>
      </c>
      <c r="B49" t="s">
        <v>705</v>
      </c>
      <c r="C49" t="s">
        <v>48</v>
      </c>
      <c r="D49" t="s">
        <v>44</v>
      </c>
      <c r="E49">
        <v>5</v>
      </c>
      <c r="F49" t="s">
        <v>1297</v>
      </c>
      <c r="G49" t="s">
        <v>1</v>
      </c>
      <c r="H49" s="26" t="s">
        <v>1420</v>
      </c>
      <c r="I49" t="s">
        <v>1</v>
      </c>
      <c r="J49" t="s">
        <v>1</v>
      </c>
      <c r="K49" t="s">
        <v>1</v>
      </c>
      <c r="L49" t="s">
        <v>1</v>
      </c>
      <c r="M49" t="s">
        <v>1</v>
      </c>
      <c r="N49" t="s">
        <v>1</v>
      </c>
      <c r="O49" t="s">
        <v>1</v>
      </c>
      <c r="P49" t="s">
        <v>1</v>
      </c>
      <c r="Q49" t="s">
        <v>1</v>
      </c>
      <c r="R49" t="s">
        <v>1</v>
      </c>
      <c r="S49" t="s">
        <v>1</v>
      </c>
      <c r="T49" t="s">
        <v>1</v>
      </c>
      <c r="U49" t="s">
        <v>1</v>
      </c>
      <c r="V49" t="s">
        <v>1</v>
      </c>
      <c r="W49" t="s">
        <v>1</v>
      </c>
      <c r="X49" t="s">
        <v>1</v>
      </c>
      <c r="Y49" t="s">
        <v>1</v>
      </c>
      <c r="Z49" t="s">
        <v>1</v>
      </c>
      <c r="AA49" t="s">
        <v>1</v>
      </c>
      <c r="AB49" t="s">
        <v>1</v>
      </c>
      <c r="AC49" t="s">
        <v>1</v>
      </c>
      <c r="AD49" t="s">
        <v>1</v>
      </c>
      <c r="AE49" t="s">
        <v>1</v>
      </c>
      <c r="AF49" t="s">
        <v>1</v>
      </c>
      <c r="AG49" t="s">
        <v>1</v>
      </c>
      <c r="AH49" t="s">
        <v>1</v>
      </c>
      <c r="AI49" t="s">
        <v>1</v>
      </c>
      <c r="AJ49" t="s">
        <v>1</v>
      </c>
      <c r="AK49" t="s">
        <v>1</v>
      </c>
      <c r="AL49" t="s">
        <v>1</v>
      </c>
      <c r="AM49" t="s">
        <v>1</v>
      </c>
      <c r="AN49">
        <v>48</v>
      </c>
      <c r="AO49">
        <f t="shared" si="2"/>
        <v>48</v>
      </c>
      <c r="AP49">
        <f t="shared" si="0"/>
        <v>5</v>
      </c>
      <c r="AQ49">
        <f t="shared" si="1"/>
        <v>5</v>
      </c>
      <c r="AR49" s="26" t="s">
        <v>1355</v>
      </c>
      <c r="AS49" s="26" t="s">
        <v>1356</v>
      </c>
      <c r="AT49" t="s">
        <v>709</v>
      </c>
      <c r="AU49" t="s">
        <v>1</v>
      </c>
      <c r="AV49" t="s">
        <v>1</v>
      </c>
      <c r="AW49">
        <v>55.47</v>
      </c>
      <c r="AX49">
        <v>9.1</v>
      </c>
      <c r="AY49" t="s">
        <v>737</v>
      </c>
      <c r="BA49" s="3">
        <v>2</v>
      </c>
      <c r="BB49" s="3"/>
      <c r="BC49" s="3"/>
      <c r="BD49" s="3"/>
      <c r="BE49" s="3"/>
      <c r="BF49">
        <v>1989</v>
      </c>
      <c r="BG49" s="24" t="s">
        <v>733</v>
      </c>
      <c r="BH49" s="24" t="s">
        <v>733</v>
      </c>
      <c r="BI49" s="24" t="s">
        <v>733</v>
      </c>
      <c r="BJ49" s="24" t="s">
        <v>732</v>
      </c>
      <c r="BK49" s="24" t="s">
        <v>733</v>
      </c>
      <c r="BL49" s="25" t="s">
        <v>733</v>
      </c>
      <c r="BM49" s="24" t="s">
        <v>733</v>
      </c>
      <c r="BN49" s="24" t="s">
        <v>732</v>
      </c>
      <c r="BO49" s="24" t="s">
        <v>733</v>
      </c>
      <c r="BP49" s="24" t="s">
        <v>733</v>
      </c>
      <c r="BQ49" s="24" t="s">
        <v>945</v>
      </c>
      <c r="BR49" s="24" t="s">
        <v>945</v>
      </c>
      <c r="BS49" s="25" t="s">
        <v>934</v>
      </c>
      <c r="BT49" s="24" t="s">
        <v>934</v>
      </c>
      <c r="BU49" s="24" t="s">
        <v>934</v>
      </c>
      <c r="BV49" s="24" t="s">
        <v>934</v>
      </c>
      <c r="BW49" s="24" t="s">
        <v>934</v>
      </c>
      <c r="BX49" s="24" t="s">
        <v>934</v>
      </c>
      <c r="BY49" s="25" t="s">
        <v>945</v>
      </c>
      <c r="BZ49" t="s">
        <v>62</v>
      </c>
      <c r="CB49" t="s">
        <v>63</v>
      </c>
      <c r="CC49" s="4">
        <f>597*10</f>
        <v>5970</v>
      </c>
      <c r="CD49" s="4"/>
      <c r="CE49" s="4"/>
      <c r="CF49" t="s">
        <v>793</v>
      </c>
      <c r="CG49">
        <v>100</v>
      </c>
      <c r="CH49" t="s">
        <v>805</v>
      </c>
      <c r="CI49" s="28">
        <v>1.7</v>
      </c>
      <c r="CJ49" s="10" t="s">
        <v>1442</v>
      </c>
      <c r="CK49" t="s">
        <v>807</v>
      </c>
      <c r="CL49" s="4">
        <f>696*10</f>
        <v>6960</v>
      </c>
      <c r="CM49" t="s">
        <v>847</v>
      </c>
      <c r="CN49" s="4">
        <f>16.2*10</f>
        <v>162</v>
      </c>
      <c r="CO49" s="4"/>
      <c r="CP49" s="4" t="s">
        <v>1</v>
      </c>
      <c r="CQ49" s="4" t="s">
        <v>1</v>
      </c>
      <c r="CR49" s="4" t="s">
        <v>1</v>
      </c>
      <c r="CS49" s="4" t="s">
        <v>1</v>
      </c>
      <c r="CT49" s="4" t="s">
        <v>1</v>
      </c>
      <c r="CU49" s="4" t="s">
        <v>1</v>
      </c>
      <c r="CV49" t="s">
        <v>855</v>
      </c>
      <c r="CW49">
        <v>100</v>
      </c>
      <c r="CX49">
        <v>0</v>
      </c>
      <c r="CY49">
        <v>30</v>
      </c>
      <c r="CZ49" s="26" t="s">
        <v>1358</v>
      </c>
      <c r="DA49" t="s">
        <v>734</v>
      </c>
      <c r="DB49">
        <v>81.8</v>
      </c>
      <c r="DC49">
        <v>0</v>
      </c>
      <c r="DD49">
        <v>30</v>
      </c>
      <c r="DE49" s="26" t="s">
        <v>1358</v>
      </c>
      <c r="DF49" t="s">
        <v>735</v>
      </c>
      <c r="DG49">
        <v>9.6999999999999993</v>
      </c>
      <c r="DH49">
        <v>0</v>
      </c>
      <c r="DI49">
        <v>30</v>
      </c>
      <c r="DJ49" s="26" t="s">
        <v>1358</v>
      </c>
      <c r="DK49" t="s">
        <v>736</v>
      </c>
      <c r="DL49">
        <v>8.5</v>
      </c>
      <c r="DM49">
        <v>0</v>
      </c>
      <c r="DN49">
        <v>30</v>
      </c>
      <c r="DO49" s="26" t="s">
        <v>1358</v>
      </c>
      <c r="DP49" t="s">
        <v>6</v>
      </c>
      <c r="DQ49" t="s">
        <v>814</v>
      </c>
      <c r="DR49">
        <v>6.5</v>
      </c>
      <c r="DS49">
        <v>0</v>
      </c>
      <c r="DT49">
        <v>30</v>
      </c>
      <c r="DU49" s="26" t="s">
        <v>1358</v>
      </c>
      <c r="EA49" t="s">
        <v>982</v>
      </c>
      <c r="EB49">
        <v>26</v>
      </c>
      <c r="EC49">
        <v>0</v>
      </c>
      <c r="ED49">
        <v>30</v>
      </c>
      <c r="EE49" s="26" t="s">
        <v>1358</v>
      </c>
      <c r="EF49" s="26"/>
      <c r="FZ49" t="s">
        <v>806</v>
      </c>
      <c r="GA49">
        <v>949</v>
      </c>
      <c r="GE49" s="26" t="s">
        <v>1358</v>
      </c>
      <c r="HA49" s="5" t="s">
        <v>1</v>
      </c>
      <c r="HB49" s="4" t="s">
        <v>1</v>
      </c>
      <c r="HC49" t="s">
        <v>1</v>
      </c>
      <c r="HD49" t="s">
        <v>1</v>
      </c>
      <c r="HE49" t="s">
        <v>1</v>
      </c>
      <c r="HF49" s="5" t="s">
        <v>1063</v>
      </c>
      <c r="HG49" s="4">
        <v>2.0399999999999996</v>
      </c>
      <c r="HH49">
        <v>0</v>
      </c>
      <c r="HI49">
        <v>30</v>
      </c>
      <c r="HJ49" s="26" t="s">
        <v>1358</v>
      </c>
      <c r="HK49" t="s">
        <v>815</v>
      </c>
      <c r="HL49" s="34">
        <v>1.55</v>
      </c>
      <c r="HM49">
        <v>0</v>
      </c>
      <c r="HN49">
        <v>30</v>
      </c>
      <c r="HO49" t="s">
        <v>1448</v>
      </c>
      <c r="HP49" s="26" t="s">
        <v>1358</v>
      </c>
      <c r="HZ49" t="s">
        <v>968</v>
      </c>
      <c r="IA49">
        <v>225</v>
      </c>
      <c r="IB49" s="10" t="s">
        <v>1</v>
      </c>
      <c r="IC49" s="10"/>
      <c r="ID49" s="10"/>
      <c r="IE49" s="10" t="s">
        <v>1</v>
      </c>
      <c r="IF49" s="10" t="s">
        <v>1</v>
      </c>
      <c r="IG49" s="10"/>
      <c r="IH49" s="10"/>
      <c r="II49" s="10"/>
      <c r="IJ49" s="10"/>
      <c r="IK49" s="10"/>
      <c r="IL49" s="10"/>
      <c r="IM49" s="10"/>
      <c r="IN49" s="10"/>
      <c r="IO49" s="10"/>
      <c r="IP49" s="10"/>
      <c r="IQ49" s="10"/>
      <c r="IR49" s="10"/>
      <c r="IS49" t="s">
        <v>1</v>
      </c>
      <c r="IT49" t="s">
        <v>1</v>
      </c>
      <c r="IW49" t="s">
        <v>1</v>
      </c>
      <c r="IX49" t="s">
        <v>1</v>
      </c>
      <c r="IY49" t="s">
        <v>1</v>
      </c>
      <c r="IZ49" t="s">
        <v>1</v>
      </c>
      <c r="JA49" t="s">
        <v>1</v>
      </c>
      <c r="JB49" s="4" t="s">
        <v>1</v>
      </c>
      <c r="JC49" t="s">
        <v>1</v>
      </c>
      <c r="JD49" s="4" t="s">
        <v>1</v>
      </c>
      <c r="JE49" t="s">
        <v>1</v>
      </c>
      <c r="JF49" t="s">
        <v>1</v>
      </c>
      <c r="JR49" t="s">
        <v>1066</v>
      </c>
      <c r="JS49">
        <v>185.9</v>
      </c>
      <c r="JU49" t="s">
        <v>1</v>
      </c>
      <c r="JW49" t="s">
        <v>1</v>
      </c>
      <c r="JX49">
        <v>0</v>
      </c>
      <c r="JY49">
        <v>150</v>
      </c>
      <c r="JZ49" t="s">
        <v>796</v>
      </c>
      <c r="KA49" t="s">
        <v>46</v>
      </c>
      <c r="KB49" t="s">
        <v>738</v>
      </c>
      <c r="KC49" t="s">
        <v>1</v>
      </c>
      <c r="KD49" t="s">
        <v>1</v>
      </c>
      <c r="KE49" t="s">
        <v>1</v>
      </c>
      <c r="KF49" t="s">
        <v>1</v>
      </c>
      <c r="KG49" t="s">
        <v>1</v>
      </c>
      <c r="KH49" t="s">
        <v>1</v>
      </c>
      <c r="KI49" t="s">
        <v>1</v>
      </c>
      <c r="KJ49" t="s">
        <v>1</v>
      </c>
      <c r="KK49" t="s">
        <v>1</v>
      </c>
    </row>
    <row r="50" spans="1:297" x14ac:dyDescent="0.2">
      <c r="A50">
        <v>49</v>
      </c>
      <c r="B50" t="s">
        <v>705</v>
      </c>
      <c r="C50" t="s">
        <v>49</v>
      </c>
      <c r="D50" t="s">
        <v>44</v>
      </c>
      <c r="E50">
        <v>5</v>
      </c>
      <c r="F50" t="s">
        <v>1297</v>
      </c>
      <c r="G50" t="s">
        <v>1</v>
      </c>
      <c r="H50" s="26" t="s">
        <v>1420</v>
      </c>
      <c r="I50" t="s">
        <v>1</v>
      </c>
      <c r="J50" t="s">
        <v>1</v>
      </c>
      <c r="K50" t="s">
        <v>1</v>
      </c>
      <c r="L50" t="s">
        <v>1</v>
      </c>
      <c r="M50" t="s">
        <v>1</v>
      </c>
      <c r="N50" t="s">
        <v>1</v>
      </c>
      <c r="O50" t="s">
        <v>1</v>
      </c>
      <c r="P50" t="s">
        <v>1</v>
      </c>
      <c r="Q50" t="s">
        <v>1</v>
      </c>
      <c r="R50" t="s">
        <v>1</v>
      </c>
      <c r="S50" t="s">
        <v>1</v>
      </c>
      <c r="T50" t="s">
        <v>1</v>
      </c>
      <c r="U50" t="s">
        <v>1</v>
      </c>
      <c r="V50" t="s">
        <v>1</v>
      </c>
      <c r="W50" t="s">
        <v>1</v>
      </c>
      <c r="X50" t="s">
        <v>1</v>
      </c>
      <c r="Y50" t="s">
        <v>1</v>
      </c>
      <c r="Z50" t="s">
        <v>1</v>
      </c>
      <c r="AA50" t="s">
        <v>1</v>
      </c>
      <c r="AB50" t="s">
        <v>1</v>
      </c>
      <c r="AC50" t="s">
        <v>1</v>
      </c>
      <c r="AD50" t="s">
        <v>1</v>
      </c>
      <c r="AE50" t="s">
        <v>1</v>
      </c>
      <c r="AF50" t="s">
        <v>1</v>
      </c>
      <c r="AG50" t="s">
        <v>1</v>
      </c>
      <c r="AH50" t="s">
        <v>1</v>
      </c>
      <c r="AI50" t="s">
        <v>1</v>
      </c>
      <c r="AJ50" t="s">
        <v>1</v>
      </c>
      <c r="AK50" t="s">
        <v>1</v>
      </c>
      <c r="AL50" t="s">
        <v>1</v>
      </c>
      <c r="AM50" t="s">
        <v>1</v>
      </c>
      <c r="AN50">
        <v>49</v>
      </c>
      <c r="AO50">
        <f t="shared" si="2"/>
        <v>49</v>
      </c>
      <c r="AP50">
        <f t="shared" si="0"/>
        <v>5</v>
      </c>
      <c r="AQ50">
        <f t="shared" si="1"/>
        <v>5</v>
      </c>
      <c r="AR50" s="26" t="s">
        <v>1355</v>
      </c>
      <c r="AS50" s="26" t="s">
        <v>1356</v>
      </c>
      <c r="AT50" t="s">
        <v>709</v>
      </c>
      <c r="AU50" t="s">
        <v>1</v>
      </c>
      <c r="AV50" t="s">
        <v>1</v>
      </c>
      <c r="AW50">
        <v>55.47</v>
      </c>
      <c r="AX50">
        <v>9.1</v>
      </c>
      <c r="AY50" t="s">
        <v>737</v>
      </c>
      <c r="BA50" s="3">
        <v>2</v>
      </c>
      <c r="BB50" s="3"/>
      <c r="BC50" s="3"/>
      <c r="BD50" s="3"/>
      <c r="BE50" s="3"/>
      <c r="BF50">
        <v>1989</v>
      </c>
      <c r="BG50" s="24" t="s">
        <v>733</v>
      </c>
      <c r="BH50" s="24" t="s">
        <v>733</v>
      </c>
      <c r="BI50" s="24" t="s">
        <v>733</v>
      </c>
      <c r="BJ50" s="24" t="s">
        <v>732</v>
      </c>
      <c r="BK50" s="24" t="s">
        <v>733</v>
      </c>
      <c r="BL50" s="25" t="s">
        <v>733</v>
      </c>
      <c r="BM50" s="24" t="s">
        <v>733</v>
      </c>
      <c r="BN50" s="24" t="s">
        <v>732</v>
      </c>
      <c r="BO50" s="24" t="s">
        <v>733</v>
      </c>
      <c r="BP50" s="24" t="s">
        <v>733</v>
      </c>
      <c r="BQ50" s="24" t="s">
        <v>945</v>
      </c>
      <c r="BR50" s="24" t="s">
        <v>945</v>
      </c>
      <c r="BS50" s="25" t="s">
        <v>934</v>
      </c>
      <c r="BT50" s="24" t="s">
        <v>934</v>
      </c>
      <c r="BU50" s="24" t="s">
        <v>934</v>
      </c>
      <c r="BV50" s="24" t="s">
        <v>934</v>
      </c>
      <c r="BW50" s="24" t="s">
        <v>934</v>
      </c>
      <c r="BX50" s="24" t="s">
        <v>934</v>
      </c>
      <c r="BY50" s="25" t="s">
        <v>945</v>
      </c>
      <c r="BZ50" t="s">
        <v>62</v>
      </c>
      <c r="CB50" t="s">
        <v>63</v>
      </c>
      <c r="CC50" s="4">
        <f>503*10</f>
        <v>5030</v>
      </c>
      <c r="CD50" s="4"/>
      <c r="CE50" s="4"/>
      <c r="CF50" t="s">
        <v>793</v>
      </c>
      <c r="CG50">
        <v>100</v>
      </c>
      <c r="CH50" t="s">
        <v>805</v>
      </c>
      <c r="CI50" s="28">
        <v>1.7</v>
      </c>
      <c r="CJ50" s="10" t="s">
        <v>1442</v>
      </c>
      <c r="CK50" t="s">
        <v>807</v>
      </c>
      <c r="CL50" s="4">
        <f>586*10</f>
        <v>5860</v>
      </c>
      <c r="CM50" t="s">
        <v>847</v>
      </c>
      <c r="CN50" s="4">
        <f>10.4*10</f>
        <v>104</v>
      </c>
      <c r="CO50" s="4"/>
      <c r="CP50" s="4" t="s">
        <v>1</v>
      </c>
      <c r="CQ50" s="4" t="s">
        <v>1</v>
      </c>
      <c r="CR50" s="4" t="s">
        <v>1</v>
      </c>
      <c r="CS50" s="4" t="s">
        <v>1</v>
      </c>
      <c r="CT50" s="4" t="s">
        <v>1</v>
      </c>
      <c r="CU50" s="4" t="s">
        <v>1</v>
      </c>
      <c r="CV50" t="s">
        <v>855</v>
      </c>
      <c r="CW50">
        <v>100</v>
      </c>
      <c r="CX50">
        <v>0</v>
      </c>
      <c r="CY50">
        <v>30</v>
      </c>
      <c r="CZ50" s="26" t="s">
        <v>1358</v>
      </c>
      <c r="DA50" t="s">
        <v>734</v>
      </c>
      <c r="DB50">
        <v>81.8</v>
      </c>
      <c r="DC50">
        <v>0</v>
      </c>
      <c r="DD50">
        <v>30</v>
      </c>
      <c r="DE50" s="26" t="s">
        <v>1358</v>
      </c>
      <c r="DF50" t="s">
        <v>735</v>
      </c>
      <c r="DG50">
        <v>9.6999999999999993</v>
      </c>
      <c r="DH50">
        <v>0</v>
      </c>
      <c r="DI50">
        <v>30</v>
      </c>
      <c r="DJ50" s="26" t="s">
        <v>1358</v>
      </c>
      <c r="DK50" t="s">
        <v>736</v>
      </c>
      <c r="DL50">
        <v>8.5</v>
      </c>
      <c r="DM50">
        <v>0</v>
      </c>
      <c r="DN50">
        <v>30</v>
      </c>
      <c r="DO50" s="26" t="s">
        <v>1358</v>
      </c>
      <c r="DP50" t="s">
        <v>6</v>
      </c>
      <c r="DQ50" t="s">
        <v>814</v>
      </c>
      <c r="DR50">
        <v>6.5</v>
      </c>
      <c r="DS50">
        <v>0</v>
      </c>
      <c r="DT50">
        <v>30</v>
      </c>
      <c r="DU50" s="26" t="s">
        <v>1358</v>
      </c>
      <c r="EA50" t="s">
        <v>982</v>
      </c>
      <c r="EB50">
        <v>26</v>
      </c>
      <c r="EC50">
        <v>0</v>
      </c>
      <c r="ED50">
        <v>30</v>
      </c>
      <c r="EE50" s="26" t="s">
        <v>1358</v>
      </c>
      <c r="EF50" s="26"/>
      <c r="FZ50" t="s">
        <v>806</v>
      </c>
      <c r="GA50">
        <v>949</v>
      </c>
      <c r="GE50" s="26" t="s">
        <v>1358</v>
      </c>
      <c r="HA50" s="5" t="s">
        <v>1</v>
      </c>
      <c r="HB50" s="4" t="s">
        <v>1</v>
      </c>
      <c r="HC50" t="s">
        <v>1</v>
      </c>
      <c r="HD50" t="s">
        <v>1</v>
      </c>
      <c r="HE50" t="s">
        <v>1</v>
      </c>
      <c r="HF50" s="5" t="s">
        <v>1063</v>
      </c>
      <c r="HG50" s="4">
        <v>2.0399999999999996</v>
      </c>
      <c r="HH50">
        <v>0</v>
      </c>
      <c r="HI50">
        <v>30</v>
      </c>
      <c r="HJ50" s="26" t="s">
        <v>1358</v>
      </c>
      <c r="HK50" t="s">
        <v>815</v>
      </c>
      <c r="HL50" s="34">
        <v>1.55</v>
      </c>
      <c r="HM50">
        <v>0</v>
      </c>
      <c r="HN50">
        <v>30</v>
      </c>
      <c r="HO50" t="s">
        <v>1448</v>
      </c>
      <c r="HP50" s="26" t="s">
        <v>1358</v>
      </c>
      <c r="HZ50" t="s">
        <v>1</v>
      </c>
      <c r="IA50" t="s">
        <v>1</v>
      </c>
      <c r="IB50" s="10" t="s">
        <v>1</v>
      </c>
      <c r="IC50" s="10"/>
      <c r="ID50" s="10"/>
      <c r="IE50" s="10" t="s">
        <v>1</v>
      </c>
      <c r="IF50" s="10" t="s">
        <v>1</v>
      </c>
      <c r="IG50" s="10"/>
      <c r="IH50" s="10"/>
      <c r="II50" s="10"/>
      <c r="IJ50" s="10"/>
      <c r="IK50" s="10"/>
      <c r="IL50" s="10"/>
      <c r="IM50" s="10"/>
      <c r="IN50" s="10"/>
      <c r="IO50" s="10"/>
      <c r="IP50" s="10"/>
      <c r="IQ50" s="10"/>
      <c r="IR50" s="10"/>
      <c r="IS50" t="s">
        <v>1</v>
      </c>
      <c r="IT50" t="s">
        <v>1</v>
      </c>
      <c r="IW50" t="s">
        <v>979</v>
      </c>
      <c r="IX50">
        <v>211</v>
      </c>
      <c r="IY50" t="s">
        <v>1</v>
      </c>
      <c r="IZ50" t="s">
        <v>1</v>
      </c>
      <c r="JA50" t="s">
        <v>1</v>
      </c>
      <c r="JB50" s="4" t="s">
        <v>1</v>
      </c>
      <c r="JC50" t="s">
        <v>1</v>
      </c>
      <c r="JD50" s="4" t="s">
        <v>1</v>
      </c>
      <c r="JE50" t="s">
        <v>1</v>
      </c>
      <c r="JF50" t="s">
        <v>1</v>
      </c>
      <c r="JR50" t="s">
        <v>1066</v>
      </c>
      <c r="JS50">
        <v>199.2</v>
      </c>
      <c r="JU50" t="s">
        <v>1</v>
      </c>
      <c r="JW50" t="s">
        <v>1</v>
      </c>
      <c r="JX50">
        <v>0</v>
      </c>
      <c r="JY50">
        <v>150</v>
      </c>
      <c r="JZ50" t="s">
        <v>796</v>
      </c>
      <c r="KA50" t="s">
        <v>46</v>
      </c>
      <c r="KB50" t="s">
        <v>738</v>
      </c>
      <c r="KC50" t="s">
        <v>1</v>
      </c>
      <c r="KD50" t="s">
        <v>1</v>
      </c>
      <c r="KE50" t="s">
        <v>1</v>
      </c>
      <c r="KF50" t="s">
        <v>1</v>
      </c>
      <c r="KG50" t="s">
        <v>1</v>
      </c>
      <c r="KH50" t="s">
        <v>1</v>
      </c>
      <c r="KI50" t="s">
        <v>1</v>
      </c>
      <c r="KJ50" t="s">
        <v>1</v>
      </c>
      <c r="KK50" t="s">
        <v>1</v>
      </c>
    </row>
    <row r="51" spans="1:297" x14ac:dyDescent="0.2">
      <c r="A51">
        <v>50</v>
      </c>
      <c r="B51" t="s">
        <v>705</v>
      </c>
      <c r="C51" t="s">
        <v>50</v>
      </c>
      <c r="D51" t="s">
        <v>44</v>
      </c>
      <c r="E51">
        <v>5</v>
      </c>
      <c r="F51" t="s">
        <v>1297</v>
      </c>
      <c r="G51" t="s">
        <v>1</v>
      </c>
      <c r="H51" s="26" t="s">
        <v>1420</v>
      </c>
      <c r="I51" t="s">
        <v>1</v>
      </c>
      <c r="J51" t="s">
        <v>1</v>
      </c>
      <c r="K51" t="s">
        <v>1</v>
      </c>
      <c r="L51" t="s">
        <v>1</v>
      </c>
      <c r="M51" t="s">
        <v>1</v>
      </c>
      <c r="N51" t="s">
        <v>1</v>
      </c>
      <c r="O51" t="s">
        <v>1</v>
      </c>
      <c r="P51" t="s">
        <v>1</v>
      </c>
      <c r="Q51" t="s">
        <v>1</v>
      </c>
      <c r="R51" t="s">
        <v>1</v>
      </c>
      <c r="S51" t="s">
        <v>1</v>
      </c>
      <c r="T51" t="s">
        <v>1</v>
      </c>
      <c r="U51" t="s">
        <v>1</v>
      </c>
      <c r="V51" t="s">
        <v>1</v>
      </c>
      <c r="W51" t="s">
        <v>1</v>
      </c>
      <c r="X51" t="s">
        <v>1</v>
      </c>
      <c r="Y51" t="s">
        <v>1</v>
      </c>
      <c r="Z51" t="s">
        <v>1</v>
      </c>
      <c r="AA51" t="s">
        <v>1</v>
      </c>
      <c r="AB51" t="s">
        <v>1</v>
      </c>
      <c r="AC51" t="s">
        <v>1</v>
      </c>
      <c r="AD51" t="s">
        <v>1</v>
      </c>
      <c r="AE51" t="s">
        <v>1</v>
      </c>
      <c r="AF51" t="s">
        <v>1</v>
      </c>
      <c r="AG51" t="s">
        <v>1</v>
      </c>
      <c r="AH51" t="s">
        <v>1</v>
      </c>
      <c r="AI51" t="s">
        <v>1</v>
      </c>
      <c r="AJ51" t="s">
        <v>1</v>
      </c>
      <c r="AK51" t="s">
        <v>1</v>
      </c>
      <c r="AL51" t="s">
        <v>1</v>
      </c>
      <c r="AM51" t="s">
        <v>1</v>
      </c>
      <c r="AN51">
        <v>50</v>
      </c>
      <c r="AO51">
        <f t="shared" si="2"/>
        <v>50</v>
      </c>
      <c r="AP51">
        <f t="shared" si="0"/>
        <v>5</v>
      </c>
      <c r="AQ51">
        <f t="shared" si="1"/>
        <v>5</v>
      </c>
      <c r="AR51" s="26" t="s">
        <v>1355</v>
      </c>
      <c r="AS51" s="26" t="s">
        <v>1356</v>
      </c>
      <c r="AT51" t="s">
        <v>709</v>
      </c>
      <c r="AU51" t="s">
        <v>1</v>
      </c>
      <c r="AV51" t="s">
        <v>1</v>
      </c>
      <c r="AW51">
        <v>55.47</v>
      </c>
      <c r="AX51">
        <v>9.1</v>
      </c>
      <c r="AY51" t="s">
        <v>737</v>
      </c>
      <c r="BA51" s="3">
        <v>2</v>
      </c>
      <c r="BB51" s="3"/>
      <c r="BC51" s="3"/>
      <c r="BD51" s="3"/>
      <c r="BE51" s="3"/>
      <c r="BF51">
        <v>1989</v>
      </c>
      <c r="BG51" s="24" t="s">
        <v>733</v>
      </c>
      <c r="BH51" s="24" t="s">
        <v>733</v>
      </c>
      <c r="BI51" s="24" t="s">
        <v>733</v>
      </c>
      <c r="BJ51" s="24" t="s">
        <v>732</v>
      </c>
      <c r="BK51" s="24" t="s">
        <v>733</v>
      </c>
      <c r="BL51" s="25" t="s">
        <v>733</v>
      </c>
      <c r="BM51" s="24" t="s">
        <v>733</v>
      </c>
      <c r="BN51" s="24" t="s">
        <v>732</v>
      </c>
      <c r="BO51" s="24" t="s">
        <v>733</v>
      </c>
      <c r="BP51" s="24" t="s">
        <v>733</v>
      </c>
      <c r="BQ51" s="24" t="s">
        <v>945</v>
      </c>
      <c r="BR51" s="24" t="s">
        <v>945</v>
      </c>
      <c r="BS51" s="25" t="s">
        <v>934</v>
      </c>
      <c r="BT51" s="24" t="s">
        <v>934</v>
      </c>
      <c r="BU51" s="24" t="s">
        <v>934</v>
      </c>
      <c r="BV51" s="24" t="s">
        <v>934</v>
      </c>
      <c r="BW51" s="24" t="s">
        <v>934</v>
      </c>
      <c r="BX51" s="24" t="s">
        <v>934</v>
      </c>
      <c r="BY51" s="25" t="s">
        <v>945</v>
      </c>
      <c r="BZ51" t="s">
        <v>62</v>
      </c>
      <c r="CB51" t="s">
        <v>63</v>
      </c>
      <c r="CC51" s="4">
        <f>589*10</f>
        <v>5890</v>
      </c>
      <c r="CD51" s="4"/>
      <c r="CE51" s="4"/>
      <c r="CF51" t="s">
        <v>793</v>
      </c>
      <c r="CG51">
        <v>100</v>
      </c>
      <c r="CH51" t="s">
        <v>805</v>
      </c>
      <c r="CI51" s="28">
        <v>1.7</v>
      </c>
      <c r="CJ51" s="10" t="s">
        <v>1442</v>
      </c>
      <c r="CK51" t="s">
        <v>807</v>
      </c>
      <c r="CL51" s="4">
        <f>697*10</f>
        <v>6970</v>
      </c>
      <c r="CM51" t="s">
        <v>847</v>
      </c>
      <c r="CN51" s="4">
        <f>14.3*10</f>
        <v>143</v>
      </c>
      <c r="CO51" s="4"/>
      <c r="CP51" s="4" t="s">
        <v>1</v>
      </c>
      <c r="CQ51" s="4" t="s">
        <v>1</v>
      </c>
      <c r="CR51" s="4" t="s">
        <v>1</v>
      </c>
      <c r="CS51" s="4" t="s">
        <v>1</v>
      </c>
      <c r="CT51" s="4" t="s">
        <v>1</v>
      </c>
      <c r="CU51" s="4" t="s">
        <v>1</v>
      </c>
      <c r="CV51" t="s">
        <v>855</v>
      </c>
      <c r="CW51">
        <v>100</v>
      </c>
      <c r="CX51">
        <v>0</v>
      </c>
      <c r="CY51">
        <v>30</v>
      </c>
      <c r="CZ51" s="26" t="s">
        <v>1358</v>
      </c>
      <c r="DA51" t="s">
        <v>734</v>
      </c>
      <c r="DB51">
        <v>81.8</v>
      </c>
      <c r="DC51">
        <v>0</v>
      </c>
      <c r="DD51">
        <v>30</v>
      </c>
      <c r="DE51" s="26" t="s">
        <v>1358</v>
      </c>
      <c r="DF51" t="s">
        <v>735</v>
      </c>
      <c r="DG51">
        <v>9.6999999999999993</v>
      </c>
      <c r="DH51">
        <v>0</v>
      </c>
      <c r="DI51">
        <v>30</v>
      </c>
      <c r="DJ51" s="26" t="s">
        <v>1358</v>
      </c>
      <c r="DK51" t="s">
        <v>736</v>
      </c>
      <c r="DL51">
        <v>8.5</v>
      </c>
      <c r="DM51">
        <v>0</v>
      </c>
      <c r="DN51">
        <v>30</v>
      </c>
      <c r="DO51" s="26" t="s">
        <v>1358</v>
      </c>
      <c r="DP51" t="s">
        <v>6</v>
      </c>
      <c r="DQ51" t="s">
        <v>814</v>
      </c>
      <c r="DR51">
        <v>6.5</v>
      </c>
      <c r="DS51">
        <v>0</v>
      </c>
      <c r="DT51">
        <v>30</v>
      </c>
      <c r="DU51" s="26" t="s">
        <v>1358</v>
      </c>
      <c r="EA51" t="s">
        <v>982</v>
      </c>
      <c r="EB51">
        <v>26</v>
      </c>
      <c r="EC51">
        <v>0</v>
      </c>
      <c r="ED51">
        <v>30</v>
      </c>
      <c r="EE51" s="26" t="s">
        <v>1358</v>
      </c>
      <c r="EF51" s="26"/>
      <c r="FZ51" t="s">
        <v>806</v>
      </c>
      <c r="GA51">
        <v>949</v>
      </c>
      <c r="GE51" s="26" t="s">
        <v>1358</v>
      </c>
      <c r="HA51" s="5" t="s">
        <v>1</v>
      </c>
      <c r="HB51" s="4" t="s">
        <v>1</v>
      </c>
      <c r="HC51" t="s">
        <v>1</v>
      </c>
      <c r="HD51" t="s">
        <v>1</v>
      </c>
      <c r="HE51" t="s">
        <v>1</v>
      </c>
      <c r="HF51" s="5" t="s">
        <v>1063</v>
      </c>
      <c r="HG51" s="4">
        <v>2.0399999999999996</v>
      </c>
      <c r="HH51">
        <v>0</v>
      </c>
      <c r="HI51">
        <v>30</v>
      </c>
      <c r="HJ51" s="26" t="s">
        <v>1358</v>
      </c>
      <c r="HK51" t="s">
        <v>815</v>
      </c>
      <c r="HL51" s="34">
        <v>1.55</v>
      </c>
      <c r="HM51">
        <v>0</v>
      </c>
      <c r="HN51">
        <v>30</v>
      </c>
      <c r="HO51" t="s">
        <v>1448</v>
      </c>
      <c r="HP51" s="26" t="s">
        <v>1358</v>
      </c>
      <c r="HZ51" t="s">
        <v>1</v>
      </c>
      <c r="IA51" t="s">
        <v>1</v>
      </c>
      <c r="IB51" s="10" t="s">
        <v>1</v>
      </c>
      <c r="IC51" s="10"/>
      <c r="ID51" s="10"/>
      <c r="IE51" s="10" t="s">
        <v>1</v>
      </c>
      <c r="IF51" s="10" t="s">
        <v>1</v>
      </c>
      <c r="IG51" s="10"/>
      <c r="IH51" s="10"/>
      <c r="II51" s="10"/>
      <c r="IJ51" s="10"/>
      <c r="IK51" s="10"/>
      <c r="IL51" s="10"/>
      <c r="IM51" s="10"/>
      <c r="IN51" s="10"/>
      <c r="IO51" s="10"/>
      <c r="IP51" s="10"/>
      <c r="IQ51" s="10"/>
      <c r="IR51" s="10"/>
      <c r="IS51" t="s">
        <v>1</v>
      </c>
      <c r="IT51" t="s">
        <v>1</v>
      </c>
      <c r="IW51" t="s">
        <v>979</v>
      </c>
      <c r="IX51">
        <v>317</v>
      </c>
      <c r="IY51" t="s">
        <v>1</v>
      </c>
      <c r="IZ51" t="s">
        <v>1</v>
      </c>
      <c r="JA51" t="s">
        <v>1</v>
      </c>
      <c r="JB51" s="4" t="s">
        <v>1</v>
      </c>
      <c r="JC51" t="s">
        <v>1</v>
      </c>
      <c r="JD51" s="4" t="s">
        <v>1</v>
      </c>
      <c r="JE51" t="s">
        <v>1</v>
      </c>
      <c r="JF51" t="s">
        <v>1</v>
      </c>
      <c r="JR51" t="s">
        <v>1066</v>
      </c>
      <c r="JS51">
        <v>314.3</v>
      </c>
      <c r="JU51" t="s">
        <v>1</v>
      </c>
      <c r="JW51" t="s">
        <v>1</v>
      </c>
      <c r="JX51">
        <v>0</v>
      </c>
      <c r="JY51">
        <v>150</v>
      </c>
      <c r="JZ51" t="s">
        <v>796</v>
      </c>
      <c r="KA51" t="s">
        <v>46</v>
      </c>
      <c r="KB51" t="s">
        <v>738</v>
      </c>
      <c r="KC51" t="s">
        <v>1</v>
      </c>
      <c r="KD51" t="s">
        <v>1</v>
      </c>
      <c r="KE51" t="s">
        <v>1</v>
      </c>
      <c r="KF51" t="s">
        <v>1</v>
      </c>
      <c r="KG51" t="s">
        <v>1</v>
      </c>
      <c r="KH51" t="s">
        <v>1</v>
      </c>
      <c r="KI51" t="s">
        <v>1</v>
      </c>
      <c r="KJ51" t="s">
        <v>1</v>
      </c>
      <c r="KK51" t="s">
        <v>1</v>
      </c>
    </row>
    <row r="52" spans="1:297" x14ac:dyDescent="0.2">
      <c r="A52">
        <v>51</v>
      </c>
      <c r="B52" t="s">
        <v>705</v>
      </c>
      <c r="C52" t="s">
        <v>56</v>
      </c>
      <c r="D52" t="s">
        <v>44</v>
      </c>
      <c r="E52">
        <v>5</v>
      </c>
      <c r="F52" t="s">
        <v>1297</v>
      </c>
      <c r="G52" t="s">
        <v>1</v>
      </c>
      <c r="H52" s="26" t="s">
        <v>1420</v>
      </c>
      <c r="I52" t="s">
        <v>1</v>
      </c>
      <c r="J52" t="s">
        <v>1</v>
      </c>
      <c r="K52" t="s">
        <v>1</v>
      </c>
      <c r="L52" t="s">
        <v>1</v>
      </c>
      <c r="M52" t="s">
        <v>1</v>
      </c>
      <c r="N52" t="s">
        <v>1</v>
      </c>
      <c r="O52" t="s">
        <v>1</v>
      </c>
      <c r="P52" t="s">
        <v>1</v>
      </c>
      <c r="Q52" t="s">
        <v>1</v>
      </c>
      <c r="R52" t="s">
        <v>1</v>
      </c>
      <c r="S52" t="s">
        <v>1</v>
      </c>
      <c r="T52" t="s">
        <v>1</v>
      </c>
      <c r="U52" t="s">
        <v>1</v>
      </c>
      <c r="V52" t="s">
        <v>1</v>
      </c>
      <c r="W52" t="s">
        <v>1</v>
      </c>
      <c r="X52" t="s">
        <v>1</v>
      </c>
      <c r="Y52" t="s">
        <v>1</v>
      </c>
      <c r="Z52" t="s">
        <v>1</v>
      </c>
      <c r="AA52" t="s">
        <v>1</v>
      </c>
      <c r="AB52" t="s">
        <v>1</v>
      </c>
      <c r="AC52" t="s">
        <v>1</v>
      </c>
      <c r="AD52" t="s">
        <v>1</v>
      </c>
      <c r="AE52" t="s">
        <v>1</v>
      </c>
      <c r="AF52" t="s">
        <v>1</v>
      </c>
      <c r="AG52" t="s">
        <v>1</v>
      </c>
      <c r="AH52" t="s">
        <v>1</v>
      </c>
      <c r="AI52" t="s">
        <v>1</v>
      </c>
      <c r="AJ52" t="s">
        <v>1</v>
      </c>
      <c r="AK52" t="s">
        <v>1</v>
      </c>
      <c r="AL52" t="s">
        <v>1</v>
      </c>
      <c r="AM52" t="s">
        <v>1</v>
      </c>
      <c r="AN52">
        <v>51</v>
      </c>
      <c r="AO52">
        <f t="shared" si="2"/>
        <v>51</v>
      </c>
      <c r="AP52">
        <f t="shared" si="0"/>
        <v>5</v>
      </c>
      <c r="AQ52">
        <f t="shared" si="1"/>
        <v>5</v>
      </c>
      <c r="AR52" s="26" t="s">
        <v>1355</v>
      </c>
      <c r="AS52" s="26" t="s">
        <v>1356</v>
      </c>
      <c r="AT52" t="s">
        <v>709</v>
      </c>
      <c r="AU52" t="s">
        <v>1</v>
      </c>
      <c r="AV52" t="s">
        <v>1</v>
      </c>
      <c r="AW52">
        <v>55.47</v>
      </c>
      <c r="AX52">
        <v>9.1</v>
      </c>
      <c r="AY52" t="s">
        <v>737</v>
      </c>
      <c r="BA52" s="3">
        <v>2</v>
      </c>
      <c r="BB52" s="3"/>
      <c r="BC52" s="3"/>
      <c r="BD52" s="3"/>
      <c r="BE52" s="3"/>
      <c r="BF52">
        <v>1989</v>
      </c>
      <c r="BG52" s="24" t="s">
        <v>733</v>
      </c>
      <c r="BH52" s="24" t="s">
        <v>733</v>
      </c>
      <c r="BI52" s="24" t="s">
        <v>733</v>
      </c>
      <c r="BJ52" s="24" t="s">
        <v>732</v>
      </c>
      <c r="BK52" s="24" t="s">
        <v>733</v>
      </c>
      <c r="BL52" s="25" t="s">
        <v>733</v>
      </c>
      <c r="BM52" s="24" t="s">
        <v>733</v>
      </c>
      <c r="BN52" s="24" t="s">
        <v>732</v>
      </c>
      <c r="BO52" s="24" t="s">
        <v>733</v>
      </c>
      <c r="BP52" s="24" t="s">
        <v>733</v>
      </c>
      <c r="BQ52" s="24" t="s">
        <v>945</v>
      </c>
      <c r="BR52" s="24" t="s">
        <v>945</v>
      </c>
      <c r="BS52" s="25" t="s">
        <v>934</v>
      </c>
      <c r="BT52" s="24" t="s">
        <v>934</v>
      </c>
      <c r="BU52" s="24" t="s">
        <v>934</v>
      </c>
      <c r="BV52" s="24" t="s">
        <v>934</v>
      </c>
      <c r="BW52" s="24" t="s">
        <v>934</v>
      </c>
      <c r="BX52" s="24" t="s">
        <v>934</v>
      </c>
      <c r="BY52" s="25" t="s">
        <v>945</v>
      </c>
      <c r="BZ52" t="s">
        <v>62</v>
      </c>
      <c r="CB52" t="s">
        <v>63</v>
      </c>
      <c r="CC52" s="4">
        <f>201*10</f>
        <v>2010</v>
      </c>
      <c r="CD52" s="4"/>
      <c r="CE52" s="4"/>
      <c r="CF52" t="s">
        <v>793</v>
      </c>
      <c r="CG52">
        <v>100</v>
      </c>
      <c r="CH52" t="s">
        <v>805</v>
      </c>
      <c r="CI52" s="28">
        <v>1.7</v>
      </c>
      <c r="CJ52" s="10" t="s">
        <v>1442</v>
      </c>
      <c r="CK52" t="s">
        <v>807</v>
      </c>
      <c r="CL52" s="4">
        <f>237*10</f>
        <v>2370</v>
      </c>
      <c r="CM52" t="s">
        <v>847</v>
      </c>
      <c r="CN52" s="4">
        <f>4.3*10</f>
        <v>43</v>
      </c>
      <c r="CO52" s="4"/>
      <c r="CP52" s="4" t="s">
        <v>1</v>
      </c>
      <c r="CQ52" s="4" t="s">
        <v>1</v>
      </c>
      <c r="CR52" s="4" t="s">
        <v>1</v>
      </c>
      <c r="CS52" s="4" t="s">
        <v>1</v>
      </c>
      <c r="CT52" s="4" t="s">
        <v>1</v>
      </c>
      <c r="CU52" s="4" t="s">
        <v>1</v>
      </c>
      <c r="CV52" t="s">
        <v>855</v>
      </c>
      <c r="CW52">
        <v>100</v>
      </c>
      <c r="CX52">
        <v>0</v>
      </c>
      <c r="CY52">
        <v>30</v>
      </c>
      <c r="CZ52" s="26" t="s">
        <v>1358</v>
      </c>
      <c r="DA52" t="s">
        <v>734</v>
      </c>
      <c r="DB52">
        <v>81.8</v>
      </c>
      <c r="DC52">
        <v>0</v>
      </c>
      <c r="DD52">
        <v>30</v>
      </c>
      <c r="DE52" s="26" t="s">
        <v>1358</v>
      </c>
      <c r="DF52" t="s">
        <v>735</v>
      </c>
      <c r="DG52">
        <v>9.6999999999999993</v>
      </c>
      <c r="DH52">
        <v>0</v>
      </c>
      <c r="DI52">
        <v>30</v>
      </c>
      <c r="DJ52" s="26" t="s">
        <v>1358</v>
      </c>
      <c r="DK52" t="s">
        <v>736</v>
      </c>
      <c r="DL52">
        <v>8.5</v>
      </c>
      <c r="DM52">
        <v>0</v>
      </c>
      <c r="DN52">
        <v>30</v>
      </c>
      <c r="DO52" s="26" t="s">
        <v>1358</v>
      </c>
      <c r="DP52" t="s">
        <v>6</v>
      </c>
      <c r="DQ52" t="s">
        <v>814</v>
      </c>
      <c r="DR52">
        <v>6.5</v>
      </c>
      <c r="DS52">
        <v>0</v>
      </c>
      <c r="DT52">
        <v>30</v>
      </c>
      <c r="DU52" s="26" t="s">
        <v>1358</v>
      </c>
      <c r="EA52" t="s">
        <v>982</v>
      </c>
      <c r="EB52">
        <v>26</v>
      </c>
      <c r="EC52">
        <v>0</v>
      </c>
      <c r="ED52">
        <v>30</v>
      </c>
      <c r="EE52" s="26" t="s">
        <v>1358</v>
      </c>
      <c r="EF52" s="26"/>
      <c r="FZ52" t="s">
        <v>806</v>
      </c>
      <c r="GA52">
        <v>949</v>
      </c>
      <c r="GE52" s="26" t="s">
        <v>1358</v>
      </c>
      <c r="HA52" s="5" t="s">
        <v>1</v>
      </c>
      <c r="HB52" s="4" t="s">
        <v>1</v>
      </c>
      <c r="HC52" t="s">
        <v>1</v>
      </c>
      <c r="HD52" t="s">
        <v>1</v>
      </c>
      <c r="HE52" t="s">
        <v>1</v>
      </c>
      <c r="HF52" s="5" t="s">
        <v>1063</v>
      </c>
      <c r="HG52" s="4">
        <v>2.0399999999999996</v>
      </c>
      <c r="HH52">
        <v>0</v>
      </c>
      <c r="HI52">
        <v>30</v>
      </c>
      <c r="HJ52" s="26" t="s">
        <v>1358</v>
      </c>
      <c r="HK52" t="s">
        <v>815</v>
      </c>
      <c r="HL52" s="34">
        <v>1.55</v>
      </c>
      <c r="HM52">
        <v>0</v>
      </c>
      <c r="HN52">
        <v>30</v>
      </c>
      <c r="HO52" t="s">
        <v>1448</v>
      </c>
      <c r="HP52" s="26" t="s">
        <v>1358</v>
      </c>
      <c r="HZ52" t="s">
        <v>1</v>
      </c>
      <c r="IA52" t="s">
        <v>1</v>
      </c>
      <c r="IB52" s="10" t="s">
        <v>1</v>
      </c>
      <c r="IC52" s="10"/>
      <c r="ID52" s="10"/>
      <c r="IE52" s="10" t="s">
        <v>1</v>
      </c>
      <c r="IF52" s="10" t="s">
        <v>1</v>
      </c>
      <c r="IG52" s="10"/>
      <c r="IH52" s="10"/>
      <c r="II52" s="10"/>
      <c r="IJ52" s="10"/>
      <c r="IK52" s="10"/>
      <c r="IL52" s="10"/>
      <c r="IM52" s="10"/>
      <c r="IN52" s="10"/>
      <c r="IO52" s="10"/>
      <c r="IP52" s="10"/>
      <c r="IQ52" s="10"/>
      <c r="IR52" s="10"/>
      <c r="IS52" t="s">
        <v>1</v>
      </c>
      <c r="IT52" t="s">
        <v>1</v>
      </c>
      <c r="IW52" t="s">
        <v>1</v>
      </c>
      <c r="IX52" t="s">
        <v>1</v>
      </c>
      <c r="IY52" t="s">
        <v>1</v>
      </c>
      <c r="IZ52" t="s">
        <v>1</v>
      </c>
      <c r="JA52" t="s">
        <v>1</v>
      </c>
      <c r="JB52" s="4" t="s">
        <v>1</v>
      </c>
      <c r="JC52" t="s">
        <v>1</v>
      </c>
      <c r="JD52" s="4" t="s">
        <v>1</v>
      </c>
      <c r="JE52" t="s">
        <v>1</v>
      </c>
      <c r="JF52" t="s">
        <v>1</v>
      </c>
      <c r="JR52" t="s">
        <v>1066</v>
      </c>
      <c r="JS52">
        <v>93</v>
      </c>
      <c r="JU52" t="s">
        <v>1</v>
      </c>
      <c r="JW52" t="s">
        <v>1</v>
      </c>
      <c r="JX52">
        <v>0</v>
      </c>
      <c r="JY52">
        <v>150</v>
      </c>
      <c r="JZ52" t="s">
        <v>796</v>
      </c>
      <c r="KA52" t="s">
        <v>46</v>
      </c>
      <c r="KB52" t="s">
        <v>738</v>
      </c>
      <c r="KC52" t="s">
        <v>1</v>
      </c>
      <c r="KD52" t="s">
        <v>1</v>
      </c>
      <c r="KE52" t="s">
        <v>1</v>
      </c>
      <c r="KF52" t="s">
        <v>1</v>
      </c>
      <c r="KG52" t="s">
        <v>1</v>
      </c>
      <c r="KH52" t="s">
        <v>1</v>
      </c>
      <c r="KI52" t="s">
        <v>1</v>
      </c>
      <c r="KJ52" t="s">
        <v>1</v>
      </c>
      <c r="KK52" t="s">
        <v>1</v>
      </c>
    </row>
    <row r="53" spans="1:297" x14ac:dyDescent="0.2">
      <c r="A53">
        <v>52</v>
      </c>
      <c r="B53" t="s">
        <v>705</v>
      </c>
      <c r="C53" t="s">
        <v>57</v>
      </c>
      <c r="D53" t="s">
        <v>44</v>
      </c>
      <c r="E53">
        <v>5</v>
      </c>
      <c r="F53" t="s">
        <v>1297</v>
      </c>
      <c r="G53" t="s">
        <v>1</v>
      </c>
      <c r="H53" s="26" t="s">
        <v>1420</v>
      </c>
      <c r="I53" t="s">
        <v>1</v>
      </c>
      <c r="J53" t="s">
        <v>1</v>
      </c>
      <c r="K53" t="s">
        <v>1</v>
      </c>
      <c r="L53" t="s">
        <v>1</v>
      </c>
      <c r="M53" t="s">
        <v>1</v>
      </c>
      <c r="N53" t="s">
        <v>1</v>
      </c>
      <c r="O53" t="s">
        <v>1</v>
      </c>
      <c r="P53" t="s">
        <v>1</v>
      </c>
      <c r="Q53" t="s">
        <v>1</v>
      </c>
      <c r="R53" t="s">
        <v>1</v>
      </c>
      <c r="S53" t="s">
        <v>1</v>
      </c>
      <c r="T53" t="s">
        <v>1</v>
      </c>
      <c r="U53" t="s">
        <v>1</v>
      </c>
      <c r="V53" t="s">
        <v>1</v>
      </c>
      <c r="W53" t="s">
        <v>1</v>
      </c>
      <c r="X53" t="s">
        <v>1</v>
      </c>
      <c r="Y53" t="s">
        <v>1</v>
      </c>
      <c r="Z53" t="s">
        <v>1</v>
      </c>
      <c r="AA53" t="s">
        <v>1</v>
      </c>
      <c r="AB53" t="s">
        <v>1</v>
      </c>
      <c r="AC53" t="s">
        <v>1</v>
      </c>
      <c r="AD53" t="s">
        <v>1</v>
      </c>
      <c r="AE53" t="s">
        <v>1</v>
      </c>
      <c r="AF53" t="s">
        <v>1</v>
      </c>
      <c r="AG53" t="s">
        <v>1</v>
      </c>
      <c r="AH53" t="s">
        <v>1</v>
      </c>
      <c r="AI53" t="s">
        <v>1</v>
      </c>
      <c r="AJ53" t="s">
        <v>1</v>
      </c>
      <c r="AK53" t="s">
        <v>1</v>
      </c>
      <c r="AL53" t="s">
        <v>1</v>
      </c>
      <c r="AM53" t="s">
        <v>1</v>
      </c>
      <c r="AN53">
        <v>52</v>
      </c>
      <c r="AO53">
        <f t="shared" si="2"/>
        <v>52</v>
      </c>
      <c r="AP53">
        <f t="shared" si="0"/>
        <v>5</v>
      </c>
      <c r="AQ53">
        <f t="shared" si="1"/>
        <v>5</v>
      </c>
      <c r="AR53" s="26" t="s">
        <v>1355</v>
      </c>
      <c r="AS53" s="26" t="s">
        <v>1356</v>
      </c>
      <c r="AT53" t="s">
        <v>709</v>
      </c>
      <c r="AU53" t="s">
        <v>1</v>
      </c>
      <c r="AV53" t="s">
        <v>1</v>
      </c>
      <c r="AW53">
        <v>55.47</v>
      </c>
      <c r="AX53">
        <v>9.1</v>
      </c>
      <c r="AY53" t="s">
        <v>737</v>
      </c>
      <c r="BA53" s="3">
        <v>2</v>
      </c>
      <c r="BB53" s="3"/>
      <c r="BC53" s="3"/>
      <c r="BD53" s="3"/>
      <c r="BE53" s="3"/>
      <c r="BF53">
        <v>1989</v>
      </c>
      <c r="BG53" s="24" t="s">
        <v>733</v>
      </c>
      <c r="BH53" s="24" t="s">
        <v>733</v>
      </c>
      <c r="BI53" s="24" t="s">
        <v>733</v>
      </c>
      <c r="BJ53" s="24" t="s">
        <v>732</v>
      </c>
      <c r="BK53" s="24" t="s">
        <v>733</v>
      </c>
      <c r="BL53" s="25" t="s">
        <v>733</v>
      </c>
      <c r="BM53" s="24" t="s">
        <v>733</v>
      </c>
      <c r="BN53" s="24" t="s">
        <v>732</v>
      </c>
      <c r="BO53" s="24" t="s">
        <v>733</v>
      </c>
      <c r="BP53" s="24" t="s">
        <v>733</v>
      </c>
      <c r="BQ53" s="24" t="s">
        <v>945</v>
      </c>
      <c r="BR53" s="24" t="s">
        <v>945</v>
      </c>
      <c r="BS53" s="25" t="s">
        <v>934</v>
      </c>
      <c r="BT53" s="24" t="s">
        <v>934</v>
      </c>
      <c r="BU53" s="24" t="s">
        <v>934</v>
      </c>
      <c r="BV53" s="24" t="s">
        <v>934</v>
      </c>
      <c r="BW53" s="24" t="s">
        <v>934</v>
      </c>
      <c r="BX53" s="24" t="s">
        <v>934</v>
      </c>
      <c r="BY53" s="25" t="s">
        <v>945</v>
      </c>
      <c r="BZ53" t="s">
        <v>62</v>
      </c>
      <c r="CB53" t="s">
        <v>63</v>
      </c>
      <c r="CC53" s="4">
        <f>593*10</f>
        <v>5930</v>
      </c>
      <c r="CD53" s="4"/>
      <c r="CE53" s="4"/>
      <c r="CF53" t="s">
        <v>793</v>
      </c>
      <c r="CG53">
        <v>100</v>
      </c>
      <c r="CH53" t="s">
        <v>805</v>
      </c>
      <c r="CI53" s="28">
        <v>1.7</v>
      </c>
      <c r="CJ53" s="10" t="s">
        <v>1442</v>
      </c>
      <c r="CK53" t="s">
        <v>807</v>
      </c>
      <c r="CL53" s="4">
        <f>628*10</f>
        <v>6280</v>
      </c>
      <c r="CM53" t="s">
        <v>847</v>
      </c>
      <c r="CN53" s="4">
        <f>13.7*10</f>
        <v>137</v>
      </c>
      <c r="CO53" s="4"/>
      <c r="CP53" s="4" t="s">
        <v>1</v>
      </c>
      <c r="CQ53" s="4" t="s">
        <v>1</v>
      </c>
      <c r="CR53" s="4" t="s">
        <v>1</v>
      </c>
      <c r="CS53" s="4" t="s">
        <v>1</v>
      </c>
      <c r="CT53" s="4" t="s">
        <v>1</v>
      </c>
      <c r="CU53" s="4" t="s">
        <v>1</v>
      </c>
      <c r="CV53" t="s">
        <v>855</v>
      </c>
      <c r="CW53">
        <v>100</v>
      </c>
      <c r="CX53">
        <v>0</v>
      </c>
      <c r="CY53">
        <v>30</v>
      </c>
      <c r="CZ53" s="26" t="s">
        <v>1358</v>
      </c>
      <c r="DA53" t="s">
        <v>734</v>
      </c>
      <c r="DB53">
        <v>81.8</v>
      </c>
      <c r="DC53">
        <v>0</v>
      </c>
      <c r="DD53">
        <v>30</v>
      </c>
      <c r="DE53" s="26" t="s">
        <v>1358</v>
      </c>
      <c r="DF53" t="s">
        <v>735</v>
      </c>
      <c r="DG53">
        <v>9.6999999999999993</v>
      </c>
      <c r="DH53">
        <v>0</v>
      </c>
      <c r="DI53">
        <v>30</v>
      </c>
      <c r="DJ53" s="26" t="s">
        <v>1358</v>
      </c>
      <c r="DK53" t="s">
        <v>736</v>
      </c>
      <c r="DL53">
        <v>8.5</v>
      </c>
      <c r="DM53">
        <v>0</v>
      </c>
      <c r="DN53">
        <v>30</v>
      </c>
      <c r="DO53" s="26" t="s">
        <v>1358</v>
      </c>
      <c r="DP53" t="s">
        <v>6</v>
      </c>
      <c r="DQ53" t="s">
        <v>814</v>
      </c>
      <c r="DR53">
        <v>6.5</v>
      </c>
      <c r="DS53">
        <v>0</v>
      </c>
      <c r="DT53">
        <v>30</v>
      </c>
      <c r="DU53" s="26" t="s">
        <v>1358</v>
      </c>
      <c r="EA53" t="s">
        <v>982</v>
      </c>
      <c r="EB53">
        <v>26</v>
      </c>
      <c r="EC53">
        <v>0</v>
      </c>
      <c r="ED53">
        <v>30</v>
      </c>
      <c r="EE53" s="26" t="s">
        <v>1358</v>
      </c>
      <c r="EF53" s="26"/>
      <c r="FZ53" t="s">
        <v>806</v>
      </c>
      <c r="GA53">
        <v>949</v>
      </c>
      <c r="GE53" s="26" t="s">
        <v>1358</v>
      </c>
      <c r="HA53" s="5" t="s">
        <v>1</v>
      </c>
      <c r="HB53" s="4" t="s">
        <v>1</v>
      </c>
      <c r="HC53" t="s">
        <v>1</v>
      </c>
      <c r="HD53" t="s">
        <v>1</v>
      </c>
      <c r="HE53" t="s">
        <v>1</v>
      </c>
      <c r="HF53" s="5" t="s">
        <v>1063</v>
      </c>
      <c r="HG53" s="4">
        <v>2.0399999999999996</v>
      </c>
      <c r="HH53">
        <v>0</v>
      </c>
      <c r="HI53">
        <v>30</v>
      </c>
      <c r="HJ53" s="26" t="s">
        <v>1358</v>
      </c>
      <c r="HK53" t="s">
        <v>815</v>
      </c>
      <c r="HL53" s="34">
        <v>1.55</v>
      </c>
      <c r="HM53">
        <v>0</v>
      </c>
      <c r="HN53">
        <v>30</v>
      </c>
      <c r="HO53" t="s">
        <v>1448</v>
      </c>
      <c r="HP53" s="26" t="s">
        <v>1358</v>
      </c>
      <c r="HZ53" t="s">
        <v>968</v>
      </c>
      <c r="IA53">
        <v>150</v>
      </c>
      <c r="IB53" s="10" t="s">
        <v>1</v>
      </c>
      <c r="IC53" s="10"/>
      <c r="ID53" s="10"/>
      <c r="IE53" s="10" t="s">
        <v>1</v>
      </c>
      <c r="IF53" s="10" t="s">
        <v>1</v>
      </c>
      <c r="IG53" s="10"/>
      <c r="IH53" s="10"/>
      <c r="II53" s="10"/>
      <c r="IJ53" s="10"/>
      <c r="IK53" s="10"/>
      <c r="IL53" s="10"/>
      <c r="IM53" s="10"/>
      <c r="IN53" s="10"/>
      <c r="IO53" s="10"/>
      <c r="IP53" s="10"/>
      <c r="IQ53" s="10"/>
      <c r="IR53" s="10"/>
      <c r="IS53" t="s">
        <v>1</v>
      </c>
      <c r="IT53" t="s">
        <v>1</v>
      </c>
      <c r="IW53" t="s">
        <v>1</v>
      </c>
      <c r="IX53" t="s">
        <v>1</v>
      </c>
      <c r="IY53" t="s">
        <v>1</v>
      </c>
      <c r="IZ53" t="s">
        <v>1</v>
      </c>
      <c r="JA53" t="s">
        <v>1</v>
      </c>
      <c r="JB53" s="4" t="s">
        <v>1</v>
      </c>
      <c r="JC53" t="s">
        <v>1</v>
      </c>
      <c r="JD53" s="4" t="s">
        <v>1</v>
      </c>
      <c r="JE53" t="s">
        <v>1</v>
      </c>
      <c r="JF53" t="s">
        <v>1</v>
      </c>
      <c r="JR53" t="s">
        <v>1066</v>
      </c>
      <c r="JS53">
        <v>115.1</v>
      </c>
      <c r="JU53" t="s">
        <v>1</v>
      </c>
      <c r="JW53" t="s">
        <v>1</v>
      </c>
      <c r="JX53">
        <v>0</v>
      </c>
      <c r="JY53">
        <v>150</v>
      </c>
      <c r="JZ53" t="s">
        <v>796</v>
      </c>
      <c r="KA53" t="s">
        <v>46</v>
      </c>
      <c r="KB53" t="s">
        <v>738</v>
      </c>
      <c r="KC53" t="s">
        <v>1</v>
      </c>
      <c r="KD53" t="s">
        <v>1</v>
      </c>
      <c r="KE53" t="s">
        <v>1</v>
      </c>
      <c r="KF53" t="s">
        <v>1</v>
      </c>
      <c r="KG53" t="s">
        <v>1</v>
      </c>
      <c r="KH53" t="s">
        <v>1</v>
      </c>
      <c r="KI53" t="s">
        <v>1</v>
      </c>
      <c r="KJ53" t="s">
        <v>1</v>
      </c>
      <c r="KK53" t="s">
        <v>1</v>
      </c>
    </row>
    <row r="54" spans="1:297" x14ac:dyDescent="0.2">
      <c r="A54">
        <v>53</v>
      </c>
      <c r="B54" t="s">
        <v>705</v>
      </c>
      <c r="C54" t="s">
        <v>58</v>
      </c>
      <c r="D54" t="s">
        <v>44</v>
      </c>
      <c r="E54">
        <v>5</v>
      </c>
      <c r="F54" t="s">
        <v>1297</v>
      </c>
      <c r="G54" t="s">
        <v>1</v>
      </c>
      <c r="H54" s="26" t="s">
        <v>1420</v>
      </c>
      <c r="I54" t="s">
        <v>1</v>
      </c>
      <c r="J54" t="s">
        <v>1</v>
      </c>
      <c r="K54" t="s">
        <v>1</v>
      </c>
      <c r="L54" t="s">
        <v>1</v>
      </c>
      <c r="M54" t="s">
        <v>1</v>
      </c>
      <c r="N54" t="s">
        <v>1</v>
      </c>
      <c r="O54" t="s">
        <v>1</v>
      </c>
      <c r="P54" t="s">
        <v>1</v>
      </c>
      <c r="Q54" t="s">
        <v>1</v>
      </c>
      <c r="R54" t="s">
        <v>1</v>
      </c>
      <c r="S54" t="s">
        <v>1</v>
      </c>
      <c r="T54" t="s">
        <v>1</v>
      </c>
      <c r="U54" t="s">
        <v>1</v>
      </c>
      <c r="V54" t="s">
        <v>1</v>
      </c>
      <c r="W54" t="s">
        <v>1</v>
      </c>
      <c r="X54" t="s">
        <v>1</v>
      </c>
      <c r="Y54" t="s">
        <v>1</v>
      </c>
      <c r="Z54" t="s">
        <v>1</v>
      </c>
      <c r="AA54" t="s">
        <v>1</v>
      </c>
      <c r="AB54" t="s">
        <v>1</v>
      </c>
      <c r="AC54" t="s">
        <v>1</v>
      </c>
      <c r="AD54" t="s">
        <v>1</v>
      </c>
      <c r="AE54" t="s">
        <v>1</v>
      </c>
      <c r="AF54" t="s">
        <v>1</v>
      </c>
      <c r="AG54" t="s">
        <v>1</v>
      </c>
      <c r="AH54" t="s">
        <v>1</v>
      </c>
      <c r="AI54" t="s">
        <v>1</v>
      </c>
      <c r="AJ54" t="s">
        <v>1</v>
      </c>
      <c r="AK54" t="s">
        <v>1</v>
      </c>
      <c r="AL54" t="s">
        <v>1</v>
      </c>
      <c r="AM54" t="s">
        <v>1</v>
      </c>
      <c r="AN54">
        <v>53</v>
      </c>
      <c r="AO54">
        <f t="shared" si="2"/>
        <v>53</v>
      </c>
      <c r="AP54">
        <f t="shared" si="0"/>
        <v>5</v>
      </c>
      <c r="AQ54">
        <f t="shared" si="1"/>
        <v>5</v>
      </c>
      <c r="AR54" s="26" t="s">
        <v>1355</v>
      </c>
      <c r="AS54" s="26" t="s">
        <v>1356</v>
      </c>
      <c r="AT54" t="s">
        <v>709</v>
      </c>
      <c r="AU54" t="s">
        <v>1</v>
      </c>
      <c r="AV54" t="s">
        <v>1</v>
      </c>
      <c r="AW54">
        <v>55.47</v>
      </c>
      <c r="AX54">
        <v>9.1</v>
      </c>
      <c r="AY54" t="s">
        <v>737</v>
      </c>
      <c r="BA54" s="3">
        <v>2</v>
      </c>
      <c r="BB54" s="3"/>
      <c r="BC54" s="3"/>
      <c r="BD54" s="3"/>
      <c r="BE54" s="3"/>
      <c r="BF54">
        <v>1989</v>
      </c>
      <c r="BG54" s="24" t="s">
        <v>733</v>
      </c>
      <c r="BH54" s="24" t="s">
        <v>733</v>
      </c>
      <c r="BI54" s="24" t="s">
        <v>733</v>
      </c>
      <c r="BJ54" s="24" t="s">
        <v>732</v>
      </c>
      <c r="BK54" s="24" t="s">
        <v>733</v>
      </c>
      <c r="BL54" s="25" t="s">
        <v>733</v>
      </c>
      <c r="BM54" s="24" t="s">
        <v>733</v>
      </c>
      <c r="BN54" s="24" t="s">
        <v>732</v>
      </c>
      <c r="BO54" s="24" t="s">
        <v>733</v>
      </c>
      <c r="BP54" s="24" t="s">
        <v>733</v>
      </c>
      <c r="BQ54" s="24" t="s">
        <v>945</v>
      </c>
      <c r="BR54" s="24" t="s">
        <v>945</v>
      </c>
      <c r="BS54" s="25" t="s">
        <v>934</v>
      </c>
      <c r="BT54" s="24" t="s">
        <v>934</v>
      </c>
      <c r="BU54" s="24" t="s">
        <v>934</v>
      </c>
      <c r="BV54" s="24" t="s">
        <v>934</v>
      </c>
      <c r="BW54" s="24" t="s">
        <v>934</v>
      </c>
      <c r="BX54" s="24" t="s">
        <v>934</v>
      </c>
      <c r="BY54" s="25" t="s">
        <v>945</v>
      </c>
      <c r="BZ54" t="s">
        <v>62</v>
      </c>
      <c r="CB54" t="s">
        <v>63</v>
      </c>
      <c r="CC54" s="4">
        <f>616*10</f>
        <v>6160</v>
      </c>
      <c r="CD54" s="4"/>
      <c r="CE54" s="4"/>
      <c r="CF54" t="s">
        <v>793</v>
      </c>
      <c r="CG54">
        <v>100</v>
      </c>
      <c r="CH54" t="s">
        <v>805</v>
      </c>
      <c r="CI54" s="28">
        <v>1.7</v>
      </c>
      <c r="CJ54" s="10" t="s">
        <v>1442</v>
      </c>
      <c r="CK54" t="s">
        <v>807</v>
      </c>
      <c r="CL54" s="4">
        <f>673*10</f>
        <v>6730</v>
      </c>
      <c r="CM54" t="s">
        <v>847</v>
      </c>
      <c r="CN54" s="4">
        <f>16.2*10</f>
        <v>162</v>
      </c>
      <c r="CO54" s="4"/>
      <c r="CP54" s="4" t="s">
        <v>1</v>
      </c>
      <c r="CQ54" s="4" t="s">
        <v>1</v>
      </c>
      <c r="CR54" s="4" t="s">
        <v>1</v>
      </c>
      <c r="CS54" s="4" t="s">
        <v>1</v>
      </c>
      <c r="CT54" s="4" t="s">
        <v>1</v>
      </c>
      <c r="CU54" s="4" t="s">
        <v>1</v>
      </c>
      <c r="CV54" t="s">
        <v>855</v>
      </c>
      <c r="CW54">
        <v>100</v>
      </c>
      <c r="CX54">
        <v>0</v>
      </c>
      <c r="CY54">
        <v>30</v>
      </c>
      <c r="CZ54" s="26" t="s">
        <v>1358</v>
      </c>
      <c r="DA54" t="s">
        <v>734</v>
      </c>
      <c r="DB54">
        <v>81.8</v>
      </c>
      <c r="DC54">
        <v>0</v>
      </c>
      <c r="DD54">
        <v>30</v>
      </c>
      <c r="DE54" s="26" t="s">
        <v>1358</v>
      </c>
      <c r="DF54" t="s">
        <v>735</v>
      </c>
      <c r="DG54">
        <v>9.6999999999999993</v>
      </c>
      <c r="DH54">
        <v>0</v>
      </c>
      <c r="DI54">
        <v>30</v>
      </c>
      <c r="DJ54" s="26" t="s">
        <v>1358</v>
      </c>
      <c r="DK54" t="s">
        <v>736</v>
      </c>
      <c r="DL54">
        <v>8.5</v>
      </c>
      <c r="DM54">
        <v>0</v>
      </c>
      <c r="DN54">
        <v>30</v>
      </c>
      <c r="DO54" s="26" t="s">
        <v>1358</v>
      </c>
      <c r="DP54" t="s">
        <v>6</v>
      </c>
      <c r="DQ54" t="s">
        <v>814</v>
      </c>
      <c r="DR54">
        <v>6.5</v>
      </c>
      <c r="DS54">
        <v>0</v>
      </c>
      <c r="DT54">
        <v>30</v>
      </c>
      <c r="DU54" s="26" t="s">
        <v>1358</v>
      </c>
      <c r="EA54" t="s">
        <v>982</v>
      </c>
      <c r="EB54">
        <v>26</v>
      </c>
      <c r="EC54">
        <v>0</v>
      </c>
      <c r="ED54">
        <v>30</v>
      </c>
      <c r="EE54" s="26" t="s">
        <v>1358</v>
      </c>
      <c r="EF54" s="26"/>
      <c r="FZ54" t="s">
        <v>806</v>
      </c>
      <c r="GA54">
        <v>949</v>
      </c>
      <c r="GE54" s="26" t="s">
        <v>1358</v>
      </c>
      <c r="HA54" s="5" t="s">
        <v>1</v>
      </c>
      <c r="HB54" s="4" t="s">
        <v>1</v>
      </c>
      <c r="HC54" t="s">
        <v>1</v>
      </c>
      <c r="HD54" t="s">
        <v>1</v>
      </c>
      <c r="HE54" t="s">
        <v>1</v>
      </c>
      <c r="HF54" s="5" t="s">
        <v>1063</v>
      </c>
      <c r="HG54" s="4">
        <v>2.0399999999999996</v>
      </c>
      <c r="HH54">
        <v>0</v>
      </c>
      <c r="HI54">
        <v>30</v>
      </c>
      <c r="HJ54" s="26" t="s">
        <v>1358</v>
      </c>
      <c r="HK54" t="s">
        <v>815</v>
      </c>
      <c r="HL54" s="34">
        <v>1.55</v>
      </c>
      <c r="HM54">
        <v>0</v>
      </c>
      <c r="HN54">
        <v>30</v>
      </c>
      <c r="HO54" t="s">
        <v>1448</v>
      </c>
      <c r="HP54" s="26" t="s">
        <v>1358</v>
      </c>
      <c r="HZ54" t="s">
        <v>968</v>
      </c>
      <c r="IA54">
        <v>225</v>
      </c>
      <c r="IB54" s="10" t="s">
        <v>1</v>
      </c>
      <c r="IC54" s="10"/>
      <c r="ID54" s="10"/>
      <c r="IE54" s="10" t="s">
        <v>1</v>
      </c>
      <c r="IF54" s="10" t="s">
        <v>1</v>
      </c>
      <c r="IG54" s="10"/>
      <c r="IH54" s="10"/>
      <c r="II54" s="10"/>
      <c r="IJ54" s="10"/>
      <c r="IK54" s="10"/>
      <c r="IL54" s="10"/>
      <c r="IM54" s="10"/>
      <c r="IN54" s="10"/>
      <c r="IO54" s="10"/>
      <c r="IP54" s="10"/>
      <c r="IQ54" s="10"/>
      <c r="IR54" s="10"/>
      <c r="IS54" t="s">
        <v>1</v>
      </c>
      <c r="IT54" t="s">
        <v>1</v>
      </c>
      <c r="IW54" t="s">
        <v>1</v>
      </c>
      <c r="IX54" t="s">
        <v>1</v>
      </c>
      <c r="IY54" t="s">
        <v>1</v>
      </c>
      <c r="IZ54" t="s">
        <v>1</v>
      </c>
      <c r="JA54" t="s">
        <v>1</v>
      </c>
      <c r="JB54" s="4" t="s">
        <v>1</v>
      </c>
      <c r="JC54" t="s">
        <v>1</v>
      </c>
      <c r="JD54" s="4" t="s">
        <v>1</v>
      </c>
      <c r="JE54" t="s">
        <v>1</v>
      </c>
      <c r="JF54" t="s">
        <v>1</v>
      </c>
      <c r="JR54" t="s">
        <v>1066</v>
      </c>
      <c r="JS54">
        <v>194.8</v>
      </c>
      <c r="JU54" t="s">
        <v>1</v>
      </c>
      <c r="JW54" t="s">
        <v>1</v>
      </c>
      <c r="JX54">
        <v>0</v>
      </c>
      <c r="JY54">
        <v>150</v>
      </c>
      <c r="JZ54" t="s">
        <v>796</v>
      </c>
      <c r="KA54" t="s">
        <v>46</v>
      </c>
      <c r="KB54" t="s">
        <v>738</v>
      </c>
      <c r="KC54" t="s">
        <v>1</v>
      </c>
      <c r="KD54" t="s">
        <v>1</v>
      </c>
      <c r="KE54" t="s">
        <v>1</v>
      </c>
      <c r="KF54" t="s">
        <v>1</v>
      </c>
      <c r="KG54" t="s">
        <v>1</v>
      </c>
      <c r="KH54" t="s">
        <v>1</v>
      </c>
      <c r="KI54" t="s">
        <v>1</v>
      </c>
      <c r="KJ54" t="s">
        <v>1</v>
      </c>
      <c r="KK54" t="s">
        <v>1</v>
      </c>
    </row>
    <row r="55" spans="1:297" x14ac:dyDescent="0.2">
      <c r="A55">
        <v>54</v>
      </c>
      <c r="B55" t="s">
        <v>705</v>
      </c>
      <c r="C55" t="s">
        <v>59</v>
      </c>
      <c r="D55" t="s">
        <v>44</v>
      </c>
      <c r="E55">
        <v>5</v>
      </c>
      <c r="F55" t="s">
        <v>1297</v>
      </c>
      <c r="G55" t="s">
        <v>1</v>
      </c>
      <c r="H55" s="26" t="s">
        <v>1420</v>
      </c>
      <c r="I55" t="s">
        <v>1</v>
      </c>
      <c r="J55" t="s">
        <v>1</v>
      </c>
      <c r="K55" t="s">
        <v>1</v>
      </c>
      <c r="L55" t="s">
        <v>1</v>
      </c>
      <c r="M55" t="s">
        <v>1</v>
      </c>
      <c r="N55" t="s">
        <v>1</v>
      </c>
      <c r="O55" t="s">
        <v>1</v>
      </c>
      <c r="P55" t="s">
        <v>1</v>
      </c>
      <c r="Q55" t="s">
        <v>1</v>
      </c>
      <c r="R55" t="s">
        <v>1</v>
      </c>
      <c r="S55" t="s">
        <v>1</v>
      </c>
      <c r="T55" t="s">
        <v>1</v>
      </c>
      <c r="U55" t="s">
        <v>1</v>
      </c>
      <c r="V55" t="s">
        <v>1</v>
      </c>
      <c r="W55" t="s">
        <v>1</v>
      </c>
      <c r="X55" t="s">
        <v>1</v>
      </c>
      <c r="Y55" t="s">
        <v>1</v>
      </c>
      <c r="Z55" t="s">
        <v>1</v>
      </c>
      <c r="AA55" t="s">
        <v>1</v>
      </c>
      <c r="AB55" t="s">
        <v>1</v>
      </c>
      <c r="AC55" t="s">
        <v>1</v>
      </c>
      <c r="AD55" t="s">
        <v>1</v>
      </c>
      <c r="AE55" t="s">
        <v>1</v>
      </c>
      <c r="AF55" t="s">
        <v>1</v>
      </c>
      <c r="AG55" t="s">
        <v>1</v>
      </c>
      <c r="AH55" t="s">
        <v>1</v>
      </c>
      <c r="AI55" t="s">
        <v>1</v>
      </c>
      <c r="AJ55" t="s">
        <v>1</v>
      </c>
      <c r="AK55" t="s">
        <v>1</v>
      </c>
      <c r="AL55" t="s">
        <v>1</v>
      </c>
      <c r="AM55" t="s">
        <v>1</v>
      </c>
      <c r="AN55">
        <v>54</v>
      </c>
      <c r="AO55">
        <f t="shared" si="2"/>
        <v>54</v>
      </c>
      <c r="AP55">
        <f t="shared" si="0"/>
        <v>5</v>
      </c>
      <c r="AQ55">
        <f t="shared" si="1"/>
        <v>5</v>
      </c>
      <c r="AR55" s="26" t="s">
        <v>1355</v>
      </c>
      <c r="AS55" s="26" t="s">
        <v>1356</v>
      </c>
      <c r="AT55" t="s">
        <v>709</v>
      </c>
      <c r="AU55" t="s">
        <v>1</v>
      </c>
      <c r="AV55" t="s">
        <v>1</v>
      </c>
      <c r="AW55">
        <v>55.47</v>
      </c>
      <c r="AX55">
        <v>9.1</v>
      </c>
      <c r="AY55" t="s">
        <v>737</v>
      </c>
      <c r="BA55" s="3">
        <v>2</v>
      </c>
      <c r="BB55" s="3"/>
      <c r="BC55" s="3"/>
      <c r="BD55" s="3"/>
      <c r="BE55" s="3"/>
      <c r="BF55">
        <v>1989</v>
      </c>
      <c r="BG55" s="24" t="s">
        <v>733</v>
      </c>
      <c r="BH55" s="24" t="s">
        <v>733</v>
      </c>
      <c r="BI55" s="24" t="s">
        <v>733</v>
      </c>
      <c r="BJ55" s="24" t="s">
        <v>732</v>
      </c>
      <c r="BK55" s="24" t="s">
        <v>733</v>
      </c>
      <c r="BL55" s="25" t="s">
        <v>733</v>
      </c>
      <c r="BM55" s="24" t="s">
        <v>733</v>
      </c>
      <c r="BN55" s="24" t="s">
        <v>732</v>
      </c>
      <c r="BO55" s="24" t="s">
        <v>733</v>
      </c>
      <c r="BP55" s="24" t="s">
        <v>733</v>
      </c>
      <c r="BQ55" s="24" t="s">
        <v>945</v>
      </c>
      <c r="BR55" s="24" t="s">
        <v>945</v>
      </c>
      <c r="BS55" s="25" t="s">
        <v>934</v>
      </c>
      <c r="BT55" s="24" t="s">
        <v>934</v>
      </c>
      <c r="BU55" s="24" t="s">
        <v>934</v>
      </c>
      <c r="BV55" s="24" t="s">
        <v>934</v>
      </c>
      <c r="BW55" s="24" t="s">
        <v>934</v>
      </c>
      <c r="BX55" s="24" t="s">
        <v>934</v>
      </c>
      <c r="BY55" s="25" t="s">
        <v>945</v>
      </c>
      <c r="BZ55" t="s">
        <v>62</v>
      </c>
      <c r="CB55" t="s">
        <v>63</v>
      </c>
      <c r="CC55" s="4">
        <f>539*10</f>
        <v>5390</v>
      </c>
      <c r="CD55" s="4"/>
      <c r="CE55" s="4"/>
      <c r="CF55" t="s">
        <v>793</v>
      </c>
      <c r="CG55">
        <v>100</v>
      </c>
      <c r="CH55" t="s">
        <v>805</v>
      </c>
      <c r="CI55" s="28">
        <v>1.7</v>
      </c>
      <c r="CJ55" s="10" t="s">
        <v>1442</v>
      </c>
      <c r="CK55" t="s">
        <v>807</v>
      </c>
      <c r="CL55" s="4">
        <f>583*10</f>
        <v>5830</v>
      </c>
      <c r="CM55" t="s">
        <v>847</v>
      </c>
      <c r="CN55" s="4">
        <f>12.1*10</f>
        <v>121</v>
      </c>
      <c r="CO55" s="4"/>
      <c r="CP55" s="4" t="s">
        <v>1</v>
      </c>
      <c r="CQ55" s="4" t="s">
        <v>1</v>
      </c>
      <c r="CR55" s="4" t="s">
        <v>1</v>
      </c>
      <c r="CS55" s="4" t="s">
        <v>1</v>
      </c>
      <c r="CT55" s="4" t="s">
        <v>1</v>
      </c>
      <c r="CU55" s="4" t="s">
        <v>1</v>
      </c>
      <c r="CV55" t="s">
        <v>855</v>
      </c>
      <c r="CW55">
        <v>100</v>
      </c>
      <c r="CX55">
        <v>0</v>
      </c>
      <c r="CY55">
        <v>30</v>
      </c>
      <c r="CZ55" s="26" t="s">
        <v>1358</v>
      </c>
      <c r="DA55" t="s">
        <v>734</v>
      </c>
      <c r="DB55">
        <v>81.8</v>
      </c>
      <c r="DC55">
        <v>0</v>
      </c>
      <c r="DD55">
        <v>30</v>
      </c>
      <c r="DE55" s="26" t="s">
        <v>1358</v>
      </c>
      <c r="DF55" t="s">
        <v>735</v>
      </c>
      <c r="DG55">
        <v>9.6999999999999993</v>
      </c>
      <c r="DH55">
        <v>0</v>
      </c>
      <c r="DI55">
        <v>30</v>
      </c>
      <c r="DJ55" s="26" t="s">
        <v>1358</v>
      </c>
      <c r="DK55" t="s">
        <v>736</v>
      </c>
      <c r="DL55">
        <v>8.5</v>
      </c>
      <c r="DM55">
        <v>0</v>
      </c>
      <c r="DN55">
        <v>30</v>
      </c>
      <c r="DO55" s="26" t="s">
        <v>1358</v>
      </c>
      <c r="DP55" t="s">
        <v>6</v>
      </c>
      <c r="DQ55" t="s">
        <v>814</v>
      </c>
      <c r="DR55">
        <v>6.5</v>
      </c>
      <c r="DS55">
        <v>0</v>
      </c>
      <c r="DT55">
        <v>30</v>
      </c>
      <c r="DU55" s="26" t="s">
        <v>1358</v>
      </c>
      <c r="EA55" t="s">
        <v>982</v>
      </c>
      <c r="EB55">
        <v>26</v>
      </c>
      <c r="EC55">
        <v>0</v>
      </c>
      <c r="ED55">
        <v>30</v>
      </c>
      <c r="EE55" s="26" t="s">
        <v>1358</v>
      </c>
      <c r="EF55" s="26"/>
      <c r="FZ55" t="s">
        <v>806</v>
      </c>
      <c r="GA55">
        <v>949</v>
      </c>
      <c r="GE55" s="26" t="s">
        <v>1358</v>
      </c>
      <c r="HA55" s="5" t="s">
        <v>1</v>
      </c>
      <c r="HB55" s="4" t="s">
        <v>1</v>
      </c>
      <c r="HC55" t="s">
        <v>1</v>
      </c>
      <c r="HD55" t="s">
        <v>1</v>
      </c>
      <c r="HE55" t="s">
        <v>1</v>
      </c>
      <c r="HF55" s="5" t="s">
        <v>1063</v>
      </c>
      <c r="HG55" s="4">
        <v>2.0399999999999996</v>
      </c>
      <c r="HH55">
        <v>0</v>
      </c>
      <c r="HI55">
        <v>30</v>
      </c>
      <c r="HJ55" s="26" t="s">
        <v>1358</v>
      </c>
      <c r="HK55" t="s">
        <v>815</v>
      </c>
      <c r="HL55" s="34">
        <v>1.55</v>
      </c>
      <c r="HM55">
        <v>0</v>
      </c>
      <c r="HN55">
        <v>30</v>
      </c>
      <c r="HO55" t="s">
        <v>1448</v>
      </c>
      <c r="HP55" s="26" t="s">
        <v>1358</v>
      </c>
      <c r="HZ55" t="s">
        <v>1</v>
      </c>
      <c r="IA55" t="s">
        <v>1</v>
      </c>
      <c r="IB55" s="10" t="s">
        <v>1</v>
      </c>
      <c r="IC55" s="10"/>
      <c r="ID55" s="10"/>
      <c r="IE55" s="10" t="s">
        <v>1</v>
      </c>
      <c r="IF55" s="10" t="s">
        <v>1</v>
      </c>
      <c r="IG55" s="10"/>
      <c r="IH55" s="10"/>
      <c r="II55" s="10"/>
      <c r="IJ55" s="10"/>
      <c r="IK55" s="10"/>
      <c r="IL55" s="10"/>
      <c r="IM55" s="10"/>
      <c r="IN55" s="10"/>
      <c r="IO55" s="10"/>
      <c r="IP55" s="10"/>
      <c r="IQ55" s="10"/>
      <c r="IR55" s="10"/>
      <c r="IS55" t="s">
        <v>1</v>
      </c>
      <c r="IT55" t="s">
        <v>1</v>
      </c>
      <c r="IW55" t="s">
        <v>979</v>
      </c>
      <c r="IX55">
        <v>263</v>
      </c>
      <c r="IY55" t="s">
        <v>1</v>
      </c>
      <c r="IZ55" t="s">
        <v>1</v>
      </c>
      <c r="JA55" t="s">
        <v>1</v>
      </c>
      <c r="JB55" s="4" t="s">
        <v>1</v>
      </c>
      <c r="JC55" t="s">
        <v>1</v>
      </c>
      <c r="JD55" s="4" t="s">
        <v>1</v>
      </c>
      <c r="JE55" t="s">
        <v>1</v>
      </c>
      <c r="JF55" t="s">
        <v>1</v>
      </c>
      <c r="JR55" t="s">
        <v>1066</v>
      </c>
      <c r="JS55">
        <v>177.1</v>
      </c>
      <c r="JU55" t="s">
        <v>1</v>
      </c>
      <c r="JW55" t="s">
        <v>1</v>
      </c>
      <c r="JX55">
        <v>0</v>
      </c>
      <c r="JY55">
        <v>150</v>
      </c>
      <c r="JZ55" t="s">
        <v>796</v>
      </c>
      <c r="KA55" t="s">
        <v>46</v>
      </c>
      <c r="KB55" t="s">
        <v>738</v>
      </c>
      <c r="KC55" t="s">
        <v>1</v>
      </c>
      <c r="KD55" t="s">
        <v>1</v>
      </c>
      <c r="KE55" t="s">
        <v>1</v>
      </c>
      <c r="KF55" t="s">
        <v>1</v>
      </c>
      <c r="KG55" t="s">
        <v>1</v>
      </c>
      <c r="KH55" t="s">
        <v>1</v>
      </c>
      <c r="KI55" t="s">
        <v>1</v>
      </c>
      <c r="KJ55" t="s">
        <v>1</v>
      </c>
      <c r="KK55" t="s">
        <v>1</v>
      </c>
    </row>
    <row r="56" spans="1:297" x14ac:dyDescent="0.2">
      <c r="A56">
        <v>55</v>
      </c>
      <c r="B56" t="s">
        <v>705</v>
      </c>
      <c r="C56" t="s">
        <v>60</v>
      </c>
      <c r="D56" t="s">
        <v>44</v>
      </c>
      <c r="E56">
        <v>5</v>
      </c>
      <c r="F56" t="s">
        <v>1297</v>
      </c>
      <c r="G56" t="s">
        <v>1</v>
      </c>
      <c r="H56" s="26" t="s">
        <v>1420</v>
      </c>
      <c r="I56" t="s">
        <v>1</v>
      </c>
      <c r="J56" t="s">
        <v>1</v>
      </c>
      <c r="K56" t="s">
        <v>1</v>
      </c>
      <c r="L56" t="s">
        <v>1</v>
      </c>
      <c r="M56" t="s">
        <v>1</v>
      </c>
      <c r="N56" t="s">
        <v>1</v>
      </c>
      <c r="O56" t="s">
        <v>1</v>
      </c>
      <c r="P56" t="s">
        <v>1</v>
      </c>
      <c r="Q56" t="s">
        <v>1</v>
      </c>
      <c r="R56" t="s">
        <v>1</v>
      </c>
      <c r="S56" t="s">
        <v>1</v>
      </c>
      <c r="T56" t="s">
        <v>1</v>
      </c>
      <c r="U56" t="s">
        <v>1</v>
      </c>
      <c r="V56" t="s">
        <v>1</v>
      </c>
      <c r="W56" t="s">
        <v>1</v>
      </c>
      <c r="X56" t="s">
        <v>1</v>
      </c>
      <c r="Y56" t="s">
        <v>1</v>
      </c>
      <c r="Z56" t="s">
        <v>1</v>
      </c>
      <c r="AA56" t="s">
        <v>1</v>
      </c>
      <c r="AB56" t="s">
        <v>1</v>
      </c>
      <c r="AC56" t="s">
        <v>1</v>
      </c>
      <c r="AD56" t="s">
        <v>1</v>
      </c>
      <c r="AE56" t="s">
        <v>1</v>
      </c>
      <c r="AF56" t="s">
        <v>1</v>
      </c>
      <c r="AG56" t="s">
        <v>1</v>
      </c>
      <c r="AH56" t="s">
        <v>1</v>
      </c>
      <c r="AI56" t="s">
        <v>1</v>
      </c>
      <c r="AJ56" t="s">
        <v>1</v>
      </c>
      <c r="AK56" t="s">
        <v>1</v>
      </c>
      <c r="AL56" t="s">
        <v>1</v>
      </c>
      <c r="AM56" t="s">
        <v>1</v>
      </c>
      <c r="AN56">
        <v>55</v>
      </c>
      <c r="AO56">
        <f t="shared" si="2"/>
        <v>55</v>
      </c>
      <c r="AP56">
        <f t="shared" si="0"/>
        <v>5</v>
      </c>
      <c r="AQ56">
        <f t="shared" si="1"/>
        <v>5</v>
      </c>
      <c r="AR56" s="26" t="s">
        <v>1355</v>
      </c>
      <c r="AS56" s="26" t="s">
        <v>1356</v>
      </c>
      <c r="AT56" t="s">
        <v>709</v>
      </c>
      <c r="AU56" t="s">
        <v>1</v>
      </c>
      <c r="AV56" t="s">
        <v>1</v>
      </c>
      <c r="AW56">
        <v>55.47</v>
      </c>
      <c r="AX56">
        <v>9.1</v>
      </c>
      <c r="AY56" t="s">
        <v>737</v>
      </c>
      <c r="BA56" s="3">
        <v>2</v>
      </c>
      <c r="BB56" s="3"/>
      <c r="BC56" s="3"/>
      <c r="BD56" s="3"/>
      <c r="BE56" s="3"/>
      <c r="BF56">
        <v>1989</v>
      </c>
      <c r="BG56" s="24" t="s">
        <v>733</v>
      </c>
      <c r="BH56" s="24" t="s">
        <v>733</v>
      </c>
      <c r="BI56" s="24" t="s">
        <v>733</v>
      </c>
      <c r="BJ56" s="24" t="s">
        <v>732</v>
      </c>
      <c r="BK56" s="24" t="s">
        <v>733</v>
      </c>
      <c r="BL56" s="25" t="s">
        <v>733</v>
      </c>
      <c r="BM56" s="24" t="s">
        <v>733</v>
      </c>
      <c r="BN56" s="24" t="s">
        <v>732</v>
      </c>
      <c r="BO56" s="24" t="s">
        <v>733</v>
      </c>
      <c r="BP56" s="24" t="s">
        <v>733</v>
      </c>
      <c r="BQ56" s="24" t="s">
        <v>945</v>
      </c>
      <c r="BR56" s="24" t="s">
        <v>945</v>
      </c>
      <c r="BS56" s="25" t="s">
        <v>934</v>
      </c>
      <c r="BT56" s="24" t="s">
        <v>934</v>
      </c>
      <c r="BU56" s="24" t="s">
        <v>934</v>
      </c>
      <c r="BV56" s="24" t="s">
        <v>934</v>
      </c>
      <c r="BW56" s="24" t="s">
        <v>934</v>
      </c>
      <c r="BX56" s="24" t="s">
        <v>934</v>
      </c>
      <c r="BY56" s="25" t="s">
        <v>945</v>
      </c>
      <c r="BZ56" t="s">
        <v>62</v>
      </c>
      <c r="CB56" t="s">
        <v>63</v>
      </c>
      <c r="CC56" s="4">
        <f>578*10</f>
        <v>5780</v>
      </c>
      <c r="CD56" s="4"/>
      <c r="CE56" s="4"/>
      <c r="CF56" t="s">
        <v>793</v>
      </c>
      <c r="CG56">
        <v>100</v>
      </c>
      <c r="CH56" t="s">
        <v>805</v>
      </c>
      <c r="CI56" s="28">
        <v>1.7</v>
      </c>
      <c r="CJ56" s="10" t="s">
        <v>1442</v>
      </c>
      <c r="CK56" t="s">
        <v>807</v>
      </c>
      <c r="CL56" s="4">
        <f>677*10</f>
        <v>6770</v>
      </c>
      <c r="CM56" t="s">
        <v>847</v>
      </c>
      <c r="CN56" s="4">
        <f>14.5*10</f>
        <v>145</v>
      </c>
      <c r="CO56" s="4"/>
      <c r="CP56" s="4" t="s">
        <v>1</v>
      </c>
      <c r="CQ56" s="4" t="s">
        <v>1</v>
      </c>
      <c r="CR56" s="4" t="s">
        <v>1</v>
      </c>
      <c r="CS56" s="4" t="s">
        <v>1</v>
      </c>
      <c r="CT56" s="4" t="s">
        <v>1</v>
      </c>
      <c r="CU56" s="4" t="s">
        <v>1</v>
      </c>
      <c r="CV56" t="s">
        <v>855</v>
      </c>
      <c r="CW56">
        <v>100</v>
      </c>
      <c r="CX56">
        <v>0</v>
      </c>
      <c r="CY56">
        <v>30</v>
      </c>
      <c r="CZ56" s="26" t="s">
        <v>1358</v>
      </c>
      <c r="DA56" t="s">
        <v>734</v>
      </c>
      <c r="DB56">
        <v>81.8</v>
      </c>
      <c r="DC56">
        <v>0</v>
      </c>
      <c r="DD56">
        <v>30</v>
      </c>
      <c r="DE56" s="26" t="s">
        <v>1358</v>
      </c>
      <c r="DF56" t="s">
        <v>735</v>
      </c>
      <c r="DG56">
        <v>9.6999999999999993</v>
      </c>
      <c r="DH56">
        <v>0</v>
      </c>
      <c r="DI56">
        <v>30</v>
      </c>
      <c r="DJ56" s="26" t="s">
        <v>1358</v>
      </c>
      <c r="DK56" t="s">
        <v>736</v>
      </c>
      <c r="DL56">
        <v>8.5</v>
      </c>
      <c r="DM56">
        <v>0</v>
      </c>
      <c r="DN56">
        <v>30</v>
      </c>
      <c r="DO56" s="26" t="s">
        <v>1358</v>
      </c>
      <c r="DP56" t="s">
        <v>6</v>
      </c>
      <c r="DQ56" t="s">
        <v>814</v>
      </c>
      <c r="DR56">
        <v>6.5</v>
      </c>
      <c r="DS56">
        <v>0</v>
      </c>
      <c r="DT56">
        <v>30</v>
      </c>
      <c r="DU56" s="26" t="s">
        <v>1358</v>
      </c>
      <c r="EA56" t="s">
        <v>982</v>
      </c>
      <c r="EB56">
        <v>26</v>
      </c>
      <c r="EC56">
        <v>0</v>
      </c>
      <c r="ED56">
        <v>30</v>
      </c>
      <c r="EE56" s="26" t="s">
        <v>1358</v>
      </c>
      <c r="EF56" s="26"/>
      <c r="FZ56" t="s">
        <v>806</v>
      </c>
      <c r="GA56">
        <v>949</v>
      </c>
      <c r="GE56" s="26" t="s">
        <v>1358</v>
      </c>
      <c r="HA56" s="5" t="s">
        <v>1</v>
      </c>
      <c r="HB56" s="4" t="s">
        <v>1</v>
      </c>
      <c r="HC56" t="s">
        <v>1</v>
      </c>
      <c r="HD56" t="s">
        <v>1</v>
      </c>
      <c r="HE56" t="s">
        <v>1</v>
      </c>
      <c r="HF56" s="5" t="s">
        <v>1063</v>
      </c>
      <c r="HG56" s="4">
        <v>2.0399999999999996</v>
      </c>
      <c r="HH56">
        <v>0</v>
      </c>
      <c r="HI56">
        <v>30</v>
      </c>
      <c r="HJ56" s="26" t="s">
        <v>1358</v>
      </c>
      <c r="HK56" t="s">
        <v>815</v>
      </c>
      <c r="HL56" s="34">
        <v>1.55</v>
      </c>
      <c r="HM56">
        <v>0</v>
      </c>
      <c r="HN56">
        <v>30</v>
      </c>
      <c r="HO56" t="s">
        <v>1448</v>
      </c>
      <c r="HP56" s="26" t="s">
        <v>1358</v>
      </c>
      <c r="HZ56" t="s">
        <v>1</v>
      </c>
      <c r="IA56" t="s">
        <v>1</v>
      </c>
      <c r="IB56" s="10" t="s">
        <v>1</v>
      </c>
      <c r="IC56" s="10"/>
      <c r="ID56" s="10"/>
      <c r="IE56" s="10" t="s">
        <v>1</v>
      </c>
      <c r="IF56" s="10" t="s">
        <v>1</v>
      </c>
      <c r="IG56" s="10"/>
      <c r="IH56" s="10"/>
      <c r="II56" s="10"/>
      <c r="IJ56" s="10"/>
      <c r="IK56" s="10"/>
      <c r="IL56" s="10"/>
      <c r="IM56" s="10"/>
      <c r="IN56" s="10"/>
      <c r="IO56" s="10"/>
      <c r="IP56" s="10"/>
      <c r="IQ56" s="10"/>
      <c r="IR56" s="10"/>
      <c r="IS56" t="s">
        <v>1</v>
      </c>
      <c r="IT56" t="s">
        <v>1</v>
      </c>
      <c r="IW56" t="s">
        <v>979</v>
      </c>
      <c r="IX56">
        <v>395</v>
      </c>
      <c r="IY56" t="s">
        <v>1</v>
      </c>
      <c r="IZ56" t="s">
        <v>1</v>
      </c>
      <c r="JA56" t="s">
        <v>1</v>
      </c>
      <c r="JB56" s="4" t="s">
        <v>1</v>
      </c>
      <c r="JC56" t="s">
        <v>1</v>
      </c>
      <c r="JD56" s="4" t="s">
        <v>1</v>
      </c>
      <c r="JE56" t="s">
        <v>1</v>
      </c>
      <c r="JF56" t="s">
        <v>1</v>
      </c>
      <c r="JR56" t="s">
        <v>1066</v>
      </c>
      <c r="JS56">
        <v>221.3</v>
      </c>
      <c r="JU56" t="s">
        <v>1</v>
      </c>
      <c r="JW56" t="s">
        <v>1</v>
      </c>
      <c r="JX56">
        <v>0</v>
      </c>
      <c r="JY56">
        <v>150</v>
      </c>
      <c r="JZ56" t="s">
        <v>796</v>
      </c>
      <c r="KA56" t="s">
        <v>46</v>
      </c>
      <c r="KB56" t="s">
        <v>738</v>
      </c>
      <c r="KC56" t="s">
        <v>1</v>
      </c>
      <c r="KD56" t="s">
        <v>1</v>
      </c>
      <c r="KE56" t="s">
        <v>1</v>
      </c>
      <c r="KF56" t="s">
        <v>1</v>
      </c>
      <c r="KG56" t="s">
        <v>1</v>
      </c>
      <c r="KH56" t="s">
        <v>1</v>
      </c>
      <c r="KI56" t="s">
        <v>1</v>
      </c>
      <c r="KJ56" t="s">
        <v>1</v>
      </c>
      <c r="KK56" t="s">
        <v>1</v>
      </c>
    </row>
    <row r="57" spans="1:297" x14ac:dyDescent="0.2">
      <c r="A57">
        <v>56</v>
      </c>
      <c r="B57" t="s">
        <v>705</v>
      </c>
      <c r="C57" t="s">
        <v>56</v>
      </c>
      <c r="D57" t="s">
        <v>44</v>
      </c>
      <c r="E57">
        <v>5</v>
      </c>
      <c r="F57" t="s">
        <v>1297</v>
      </c>
      <c r="G57" t="s">
        <v>1</v>
      </c>
      <c r="H57" s="26" t="s">
        <v>1420</v>
      </c>
      <c r="I57" t="s">
        <v>1</v>
      </c>
      <c r="J57" t="s">
        <v>1</v>
      </c>
      <c r="K57" t="s">
        <v>1</v>
      </c>
      <c r="L57" t="s">
        <v>1</v>
      </c>
      <c r="M57" t="s">
        <v>1</v>
      </c>
      <c r="N57" t="s">
        <v>1</v>
      </c>
      <c r="O57" t="s">
        <v>1</v>
      </c>
      <c r="P57" t="s">
        <v>1</v>
      </c>
      <c r="Q57" t="s">
        <v>1</v>
      </c>
      <c r="R57" t="s">
        <v>1</v>
      </c>
      <c r="S57" t="s">
        <v>1</v>
      </c>
      <c r="T57" t="s">
        <v>1</v>
      </c>
      <c r="U57" t="s">
        <v>1</v>
      </c>
      <c r="V57" t="s">
        <v>1</v>
      </c>
      <c r="W57" t="s">
        <v>1</v>
      </c>
      <c r="X57" t="s">
        <v>1</v>
      </c>
      <c r="Y57" t="s">
        <v>1</v>
      </c>
      <c r="Z57" t="s">
        <v>1</v>
      </c>
      <c r="AA57" t="s">
        <v>1</v>
      </c>
      <c r="AB57" t="s">
        <v>1</v>
      </c>
      <c r="AC57" t="s">
        <v>1</v>
      </c>
      <c r="AD57" t="s">
        <v>1</v>
      </c>
      <c r="AE57" t="s">
        <v>1</v>
      </c>
      <c r="AF57" t="s">
        <v>1</v>
      </c>
      <c r="AG57" t="s">
        <v>1</v>
      </c>
      <c r="AH57" t="s">
        <v>1</v>
      </c>
      <c r="AI57" t="s">
        <v>1</v>
      </c>
      <c r="AJ57" t="s">
        <v>1</v>
      </c>
      <c r="AK57" t="s">
        <v>1</v>
      </c>
      <c r="AL57" t="s">
        <v>1</v>
      </c>
      <c r="AM57" t="s">
        <v>1</v>
      </c>
      <c r="AN57">
        <v>56</v>
      </c>
      <c r="AO57">
        <f t="shared" si="2"/>
        <v>56</v>
      </c>
      <c r="AP57">
        <f t="shared" si="0"/>
        <v>5</v>
      </c>
      <c r="AQ57">
        <f t="shared" si="1"/>
        <v>5</v>
      </c>
      <c r="AR57" s="26" t="s">
        <v>1355</v>
      </c>
      <c r="AS57" s="26" t="s">
        <v>1356</v>
      </c>
      <c r="AT57" t="s">
        <v>709</v>
      </c>
      <c r="AU57" t="s">
        <v>1</v>
      </c>
      <c r="AV57" t="s">
        <v>1</v>
      </c>
      <c r="AW57">
        <v>55.47</v>
      </c>
      <c r="AX57">
        <v>9.1</v>
      </c>
      <c r="AY57" t="s">
        <v>737</v>
      </c>
      <c r="BA57" s="3">
        <v>2</v>
      </c>
      <c r="BB57" s="3"/>
      <c r="BC57" s="3"/>
      <c r="BD57" s="3"/>
      <c r="BE57" s="3"/>
      <c r="BF57">
        <v>1989</v>
      </c>
      <c r="BG57" s="24" t="s">
        <v>733</v>
      </c>
      <c r="BH57" s="24" t="s">
        <v>733</v>
      </c>
      <c r="BI57" s="24" t="s">
        <v>733</v>
      </c>
      <c r="BJ57" s="24" t="s">
        <v>732</v>
      </c>
      <c r="BK57" s="24" t="s">
        <v>733</v>
      </c>
      <c r="BL57" s="25" t="s">
        <v>733</v>
      </c>
      <c r="BM57" s="24" t="s">
        <v>733</v>
      </c>
      <c r="BN57" s="24" t="s">
        <v>732</v>
      </c>
      <c r="BO57" s="24" t="s">
        <v>733</v>
      </c>
      <c r="BP57" s="24" t="s">
        <v>733</v>
      </c>
      <c r="BQ57" s="24" t="s">
        <v>945</v>
      </c>
      <c r="BR57" s="24" t="s">
        <v>945</v>
      </c>
      <c r="BS57" s="25" t="s">
        <v>934</v>
      </c>
      <c r="BT57" s="24" t="s">
        <v>934</v>
      </c>
      <c r="BU57" s="24" t="s">
        <v>934</v>
      </c>
      <c r="BV57" s="24" t="s">
        <v>934</v>
      </c>
      <c r="BW57" s="24" t="s">
        <v>934</v>
      </c>
      <c r="BX57" s="24" t="s">
        <v>934</v>
      </c>
      <c r="BY57" s="25" t="s">
        <v>945</v>
      </c>
      <c r="BZ57" t="s">
        <v>64</v>
      </c>
      <c r="CB57" t="s">
        <v>1</v>
      </c>
      <c r="CC57" s="4">
        <f>711*10</f>
        <v>7110</v>
      </c>
      <c r="CD57" s="4"/>
      <c r="CE57" s="4"/>
      <c r="CF57" t="s">
        <v>793</v>
      </c>
      <c r="CG57">
        <v>100</v>
      </c>
      <c r="CH57" t="s">
        <v>805</v>
      </c>
      <c r="CI57" s="28">
        <v>1.2</v>
      </c>
      <c r="CJ57" s="10" t="s">
        <v>1442</v>
      </c>
      <c r="CK57" t="s">
        <v>807</v>
      </c>
      <c r="CL57" s="4">
        <f>172*10</f>
        <v>1720</v>
      </c>
      <c r="CM57" t="s">
        <v>847</v>
      </c>
      <c r="CN57" s="4">
        <f>7*10</f>
        <v>70</v>
      </c>
      <c r="CO57" s="4"/>
      <c r="CP57" s="4" t="s">
        <v>1</v>
      </c>
      <c r="CQ57" s="4" t="s">
        <v>1</v>
      </c>
      <c r="CR57" s="4" t="s">
        <v>1</v>
      </c>
      <c r="CS57" s="4" t="s">
        <v>1</v>
      </c>
      <c r="CT57" s="4" t="s">
        <v>1</v>
      </c>
      <c r="CU57" s="4" t="s">
        <v>1</v>
      </c>
      <c r="CV57" t="s">
        <v>855</v>
      </c>
      <c r="CW57">
        <v>100</v>
      </c>
      <c r="CX57">
        <v>0</v>
      </c>
      <c r="CY57">
        <v>30</v>
      </c>
      <c r="CZ57" s="26" t="s">
        <v>1358</v>
      </c>
      <c r="DA57" t="s">
        <v>734</v>
      </c>
      <c r="DB57">
        <v>81.8</v>
      </c>
      <c r="DC57">
        <v>0</v>
      </c>
      <c r="DD57">
        <v>30</v>
      </c>
      <c r="DE57" s="26" t="s">
        <v>1358</v>
      </c>
      <c r="DF57" t="s">
        <v>735</v>
      </c>
      <c r="DG57">
        <v>9.6999999999999993</v>
      </c>
      <c r="DH57">
        <v>0</v>
      </c>
      <c r="DI57">
        <v>30</v>
      </c>
      <c r="DJ57" s="26" t="s">
        <v>1358</v>
      </c>
      <c r="DK57" t="s">
        <v>736</v>
      </c>
      <c r="DL57">
        <v>8.5</v>
      </c>
      <c r="DM57">
        <v>0</v>
      </c>
      <c r="DN57">
        <v>30</v>
      </c>
      <c r="DO57" s="26" t="s">
        <v>1358</v>
      </c>
      <c r="DP57" t="s">
        <v>6</v>
      </c>
      <c r="DQ57" t="s">
        <v>814</v>
      </c>
      <c r="DR57">
        <v>6.5</v>
      </c>
      <c r="DS57">
        <v>0</v>
      </c>
      <c r="DT57">
        <v>30</v>
      </c>
      <c r="DU57" s="26" t="s">
        <v>1358</v>
      </c>
      <c r="EA57" t="s">
        <v>982</v>
      </c>
      <c r="EB57">
        <v>26</v>
      </c>
      <c r="EC57">
        <v>0</v>
      </c>
      <c r="ED57">
        <v>30</v>
      </c>
      <c r="EE57" s="26" t="s">
        <v>1358</v>
      </c>
      <c r="EF57" s="26"/>
      <c r="FZ57" t="s">
        <v>806</v>
      </c>
      <c r="GA57">
        <v>949</v>
      </c>
      <c r="GE57" s="26" t="s">
        <v>1358</v>
      </c>
      <c r="HA57" s="5" t="s">
        <v>1</v>
      </c>
      <c r="HB57" s="4" t="s">
        <v>1</v>
      </c>
      <c r="HC57" t="s">
        <v>1</v>
      </c>
      <c r="HD57" t="s">
        <v>1</v>
      </c>
      <c r="HE57" t="s">
        <v>1</v>
      </c>
      <c r="HF57" s="5" t="s">
        <v>1063</v>
      </c>
      <c r="HG57" s="4">
        <v>2.0399999999999996</v>
      </c>
      <c r="HH57">
        <v>0</v>
      </c>
      <c r="HI57">
        <v>30</v>
      </c>
      <c r="HJ57" s="26" t="s">
        <v>1358</v>
      </c>
      <c r="HK57" t="s">
        <v>815</v>
      </c>
      <c r="HL57" s="34">
        <v>1.55</v>
      </c>
      <c r="HM57">
        <v>0</v>
      </c>
      <c r="HN57">
        <v>30</v>
      </c>
      <c r="HO57" t="s">
        <v>1448</v>
      </c>
      <c r="HP57" s="26" t="s">
        <v>1358</v>
      </c>
      <c r="HZ57" t="s">
        <v>1</v>
      </c>
      <c r="IA57" t="s">
        <v>1</v>
      </c>
      <c r="IB57" s="10" t="s">
        <v>1</v>
      </c>
      <c r="IC57" s="10"/>
      <c r="ID57" s="10"/>
      <c r="IE57" s="10" t="s">
        <v>1</v>
      </c>
      <c r="IF57" s="10" t="s">
        <v>1</v>
      </c>
      <c r="IG57" s="10"/>
      <c r="IH57" s="10"/>
      <c r="II57" s="10"/>
      <c r="IJ57" s="10"/>
      <c r="IK57" s="10"/>
      <c r="IL57" s="10"/>
      <c r="IM57" s="10"/>
      <c r="IN57" s="10"/>
      <c r="IO57" s="10"/>
      <c r="IP57" s="10"/>
      <c r="IQ57" s="10"/>
      <c r="IR57" s="10"/>
      <c r="IS57" t="s">
        <v>1</v>
      </c>
      <c r="IT57" t="s">
        <v>1</v>
      </c>
      <c r="IW57" t="s">
        <v>1</v>
      </c>
      <c r="IX57" t="s">
        <v>1</v>
      </c>
      <c r="IY57" t="s">
        <v>1</v>
      </c>
      <c r="IZ57" t="s">
        <v>1</v>
      </c>
      <c r="JA57" t="s">
        <v>1</v>
      </c>
      <c r="JB57" s="4" t="s">
        <v>1</v>
      </c>
      <c r="JC57" t="s">
        <v>1</v>
      </c>
      <c r="JD57" s="4" t="s">
        <v>1</v>
      </c>
      <c r="JE57" t="s">
        <v>1</v>
      </c>
      <c r="JF57" t="s">
        <v>1</v>
      </c>
      <c r="JR57" t="s">
        <v>1066</v>
      </c>
      <c r="JS57">
        <v>110.7</v>
      </c>
      <c r="JU57" t="s">
        <v>1</v>
      </c>
      <c r="JW57" t="s">
        <v>1</v>
      </c>
      <c r="JX57">
        <v>0</v>
      </c>
      <c r="JY57">
        <v>150</v>
      </c>
      <c r="JZ57" t="s">
        <v>796</v>
      </c>
      <c r="KA57" t="s">
        <v>46</v>
      </c>
      <c r="KB57" t="s">
        <v>738</v>
      </c>
      <c r="KC57" t="s">
        <v>1</v>
      </c>
      <c r="KD57" t="s">
        <v>1</v>
      </c>
      <c r="KE57" t="s">
        <v>1</v>
      </c>
      <c r="KF57" t="s">
        <v>1</v>
      </c>
      <c r="KG57" t="s">
        <v>1</v>
      </c>
      <c r="KH57" t="s">
        <v>1</v>
      </c>
      <c r="KI57" t="s">
        <v>1</v>
      </c>
      <c r="KJ57" t="s">
        <v>1</v>
      </c>
      <c r="KK57" t="s">
        <v>1</v>
      </c>
    </row>
    <row r="58" spans="1:297" x14ac:dyDescent="0.2">
      <c r="A58">
        <v>57</v>
      </c>
      <c r="B58" t="s">
        <v>705</v>
      </c>
      <c r="C58" t="s">
        <v>57</v>
      </c>
      <c r="D58" t="s">
        <v>44</v>
      </c>
      <c r="E58">
        <v>5</v>
      </c>
      <c r="F58" t="s">
        <v>1297</v>
      </c>
      <c r="G58" t="s">
        <v>1</v>
      </c>
      <c r="H58" s="26" t="s">
        <v>1420</v>
      </c>
      <c r="I58" t="s">
        <v>1</v>
      </c>
      <c r="J58" t="s">
        <v>1</v>
      </c>
      <c r="K58" t="s">
        <v>1</v>
      </c>
      <c r="L58" t="s">
        <v>1</v>
      </c>
      <c r="M58" t="s">
        <v>1</v>
      </c>
      <c r="N58" t="s">
        <v>1</v>
      </c>
      <c r="O58" t="s">
        <v>1</v>
      </c>
      <c r="P58" t="s">
        <v>1</v>
      </c>
      <c r="Q58" t="s">
        <v>1</v>
      </c>
      <c r="R58" t="s">
        <v>1</v>
      </c>
      <c r="S58" t="s">
        <v>1</v>
      </c>
      <c r="T58" t="s">
        <v>1</v>
      </c>
      <c r="U58" t="s">
        <v>1</v>
      </c>
      <c r="V58" t="s">
        <v>1</v>
      </c>
      <c r="W58" t="s">
        <v>1</v>
      </c>
      <c r="X58" t="s">
        <v>1</v>
      </c>
      <c r="Y58" t="s">
        <v>1</v>
      </c>
      <c r="Z58" t="s">
        <v>1</v>
      </c>
      <c r="AA58" t="s">
        <v>1</v>
      </c>
      <c r="AB58" t="s">
        <v>1</v>
      </c>
      <c r="AC58" t="s">
        <v>1</v>
      </c>
      <c r="AD58" t="s">
        <v>1</v>
      </c>
      <c r="AE58" t="s">
        <v>1</v>
      </c>
      <c r="AF58" t="s">
        <v>1</v>
      </c>
      <c r="AG58" t="s">
        <v>1</v>
      </c>
      <c r="AH58" t="s">
        <v>1</v>
      </c>
      <c r="AI58" t="s">
        <v>1</v>
      </c>
      <c r="AJ58" t="s">
        <v>1</v>
      </c>
      <c r="AK58" t="s">
        <v>1</v>
      </c>
      <c r="AL58" t="s">
        <v>1</v>
      </c>
      <c r="AM58" t="s">
        <v>1</v>
      </c>
      <c r="AN58">
        <v>57</v>
      </c>
      <c r="AO58">
        <f t="shared" si="2"/>
        <v>57</v>
      </c>
      <c r="AP58">
        <f t="shared" si="0"/>
        <v>5</v>
      </c>
      <c r="AQ58">
        <f t="shared" si="1"/>
        <v>5</v>
      </c>
      <c r="AR58" s="26" t="s">
        <v>1355</v>
      </c>
      <c r="AS58" s="26" t="s">
        <v>1356</v>
      </c>
      <c r="AT58" t="s">
        <v>709</v>
      </c>
      <c r="AU58" t="s">
        <v>1</v>
      </c>
      <c r="AV58" t="s">
        <v>1</v>
      </c>
      <c r="AW58">
        <v>55.47</v>
      </c>
      <c r="AX58">
        <v>9.1</v>
      </c>
      <c r="AY58" t="s">
        <v>737</v>
      </c>
      <c r="BA58" s="3">
        <v>2</v>
      </c>
      <c r="BB58" s="3"/>
      <c r="BC58" s="3"/>
      <c r="BD58" s="3"/>
      <c r="BE58" s="3"/>
      <c r="BF58">
        <v>1989</v>
      </c>
      <c r="BG58" s="24" t="s">
        <v>733</v>
      </c>
      <c r="BH58" s="24" t="s">
        <v>733</v>
      </c>
      <c r="BI58" s="24" t="s">
        <v>733</v>
      </c>
      <c r="BJ58" s="24" t="s">
        <v>732</v>
      </c>
      <c r="BK58" s="24" t="s">
        <v>733</v>
      </c>
      <c r="BL58" s="25" t="s">
        <v>733</v>
      </c>
      <c r="BM58" s="24" t="s">
        <v>733</v>
      </c>
      <c r="BN58" s="24" t="s">
        <v>732</v>
      </c>
      <c r="BO58" s="24" t="s">
        <v>733</v>
      </c>
      <c r="BP58" s="24" t="s">
        <v>733</v>
      </c>
      <c r="BQ58" s="24" t="s">
        <v>945</v>
      </c>
      <c r="BR58" s="24" t="s">
        <v>945</v>
      </c>
      <c r="BS58" s="25" t="s">
        <v>934</v>
      </c>
      <c r="BT58" s="24" t="s">
        <v>934</v>
      </c>
      <c r="BU58" s="24" t="s">
        <v>934</v>
      </c>
      <c r="BV58" s="24" t="s">
        <v>934</v>
      </c>
      <c r="BW58" s="24" t="s">
        <v>934</v>
      </c>
      <c r="BX58" s="24" t="s">
        <v>934</v>
      </c>
      <c r="BY58" s="25" t="s">
        <v>945</v>
      </c>
      <c r="BZ58" t="s">
        <v>64</v>
      </c>
      <c r="CB58" t="s">
        <v>1</v>
      </c>
      <c r="CC58" s="4">
        <f>1681*10</f>
        <v>16810</v>
      </c>
      <c r="CD58" s="4"/>
      <c r="CE58" s="4"/>
      <c r="CF58" t="s">
        <v>793</v>
      </c>
      <c r="CG58">
        <v>100</v>
      </c>
      <c r="CH58" t="s">
        <v>805</v>
      </c>
      <c r="CI58" s="28">
        <v>1.2</v>
      </c>
      <c r="CJ58" s="10" t="s">
        <v>1442</v>
      </c>
      <c r="CK58" t="s">
        <v>807</v>
      </c>
      <c r="CL58" s="4">
        <f>513*10</f>
        <v>5130</v>
      </c>
      <c r="CM58" t="s">
        <v>847</v>
      </c>
      <c r="CN58" s="4">
        <f>21.1*10</f>
        <v>211</v>
      </c>
      <c r="CO58" s="4"/>
      <c r="CP58" s="4" t="s">
        <v>1</v>
      </c>
      <c r="CQ58" s="4" t="s">
        <v>1</v>
      </c>
      <c r="CR58" s="4" t="s">
        <v>1</v>
      </c>
      <c r="CS58" s="4" t="s">
        <v>1</v>
      </c>
      <c r="CT58" s="4" t="s">
        <v>1</v>
      </c>
      <c r="CU58" s="4" t="s">
        <v>1</v>
      </c>
      <c r="CV58" t="s">
        <v>855</v>
      </c>
      <c r="CW58">
        <v>100</v>
      </c>
      <c r="CX58">
        <v>0</v>
      </c>
      <c r="CY58">
        <v>30</v>
      </c>
      <c r="CZ58" s="26" t="s">
        <v>1358</v>
      </c>
      <c r="DA58" t="s">
        <v>734</v>
      </c>
      <c r="DB58">
        <v>81.8</v>
      </c>
      <c r="DC58">
        <v>0</v>
      </c>
      <c r="DD58">
        <v>30</v>
      </c>
      <c r="DE58" s="26" t="s">
        <v>1358</v>
      </c>
      <c r="DF58" t="s">
        <v>735</v>
      </c>
      <c r="DG58">
        <v>9.6999999999999993</v>
      </c>
      <c r="DH58">
        <v>0</v>
      </c>
      <c r="DI58">
        <v>30</v>
      </c>
      <c r="DJ58" s="26" t="s">
        <v>1358</v>
      </c>
      <c r="DK58" t="s">
        <v>736</v>
      </c>
      <c r="DL58">
        <v>8.5</v>
      </c>
      <c r="DM58">
        <v>0</v>
      </c>
      <c r="DN58">
        <v>30</v>
      </c>
      <c r="DO58" s="26" t="s">
        <v>1358</v>
      </c>
      <c r="DP58" t="s">
        <v>6</v>
      </c>
      <c r="DQ58" t="s">
        <v>814</v>
      </c>
      <c r="DR58">
        <v>6.5</v>
      </c>
      <c r="DS58">
        <v>0</v>
      </c>
      <c r="DT58">
        <v>30</v>
      </c>
      <c r="DU58" s="26" t="s">
        <v>1358</v>
      </c>
      <c r="EA58" t="s">
        <v>982</v>
      </c>
      <c r="EB58">
        <v>26</v>
      </c>
      <c r="EC58">
        <v>0</v>
      </c>
      <c r="ED58">
        <v>30</v>
      </c>
      <c r="EE58" s="26" t="s">
        <v>1358</v>
      </c>
      <c r="EF58" s="26"/>
      <c r="FZ58" t="s">
        <v>806</v>
      </c>
      <c r="GA58">
        <v>949</v>
      </c>
      <c r="GE58" s="26" t="s">
        <v>1358</v>
      </c>
      <c r="HA58" s="5" t="s">
        <v>1</v>
      </c>
      <c r="HB58" s="4" t="s">
        <v>1</v>
      </c>
      <c r="HC58" t="s">
        <v>1</v>
      </c>
      <c r="HD58" t="s">
        <v>1</v>
      </c>
      <c r="HE58" t="s">
        <v>1</v>
      </c>
      <c r="HF58" s="5" t="s">
        <v>1063</v>
      </c>
      <c r="HG58" s="4">
        <v>2.0399999999999996</v>
      </c>
      <c r="HH58">
        <v>0</v>
      </c>
      <c r="HI58">
        <v>30</v>
      </c>
      <c r="HJ58" s="26" t="s">
        <v>1358</v>
      </c>
      <c r="HK58" t="s">
        <v>815</v>
      </c>
      <c r="HL58" s="34">
        <v>1.55</v>
      </c>
      <c r="HM58">
        <v>0</v>
      </c>
      <c r="HN58">
        <v>30</v>
      </c>
      <c r="HO58" t="s">
        <v>1448</v>
      </c>
      <c r="HP58" s="26" t="s">
        <v>1358</v>
      </c>
      <c r="HZ58" t="s">
        <v>968</v>
      </c>
      <c r="IA58">
        <v>200</v>
      </c>
      <c r="IB58" s="10" t="s">
        <v>1</v>
      </c>
      <c r="IC58" s="10"/>
      <c r="ID58" s="10"/>
      <c r="IE58" s="10" t="s">
        <v>1</v>
      </c>
      <c r="IF58" s="10" t="s">
        <v>1</v>
      </c>
      <c r="IG58" s="10"/>
      <c r="IH58" s="10"/>
      <c r="II58" s="10"/>
      <c r="IJ58" s="10"/>
      <c r="IK58" s="10"/>
      <c r="IL58" s="10"/>
      <c r="IM58" s="10"/>
      <c r="IN58" s="10"/>
      <c r="IO58" s="10"/>
      <c r="IP58" s="10"/>
      <c r="IQ58" s="10"/>
      <c r="IR58" s="10"/>
      <c r="IS58" t="s">
        <v>1</v>
      </c>
      <c r="IT58" t="s">
        <v>1</v>
      </c>
      <c r="IW58" t="s">
        <v>1</v>
      </c>
      <c r="IX58" t="s">
        <v>1</v>
      </c>
      <c r="IY58" t="s">
        <v>1</v>
      </c>
      <c r="IZ58" t="s">
        <v>1</v>
      </c>
      <c r="JA58" t="s">
        <v>1</v>
      </c>
      <c r="JB58" s="4" t="s">
        <v>1</v>
      </c>
      <c r="JC58" t="s">
        <v>1</v>
      </c>
      <c r="JD58" s="4" t="s">
        <v>1</v>
      </c>
      <c r="JE58" t="s">
        <v>1</v>
      </c>
      <c r="JF58" t="s">
        <v>1</v>
      </c>
      <c r="JR58" t="s">
        <v>1066</v>
      </c>
      <c r="JS58">
        <v>146.1</v>
      </c>
      <c r="JU58" t="s">
        <v>1</v>
      </c>
      <c r="JW58" t="s">
        <v>1</v>
      </c>
      <c r="JX58">
        <v>0</v>
      </c>
      <c r="JY58">
        <v>150</v>
      </c>
      <c r="JZ58" t="s">
        <v>796</v>
      </c>
      <c r="KA58" t="s">
        <v>46</v>
      </c>
      <c r="KB58" t="s">
        <v>738</v>
      </c>
      <c r="KC58" t="s">
        <v>1</v>
      </c>
      <c r="KD58" t="s">
        <v>1</v>
      </c>
      <c r="KE58" t="s">
        <v>1</v>
      </c>
      <c r="KF58" t="s">
        <v>1</v>
      </c>
      <c r="KG58" t="s">
        <v>1</v>
      </c>
      <c r="KH58" t="s">
        <v>1</v>
      </c>
      <c r="KI58" t="s">
        <v>1</v>
      </c>
      <c r="KJ58" t="s">
        <v>1</v>
      </c>
      <c r="KK58" t="s">
        <v>1</v>
      </c>
    </row>
    <row r="59" spans="1:297" x14ac:dyDescent="0.2">
      <c r="A59">
        <v>58</v>
      </c>
      <c r="B59" t="s">
        <v>705</v>
      </c>
      <c r="C59" t="s">
        <v>58</v>
      </c>
      <c r="D59" t="s">
        <v>44</v>
      </c>
      <c r="E59">
        <v>5</v>
      </c>
      <c r="F59" t="s">
        <v>1297</v>
      </c>
      <c r="G59" t="s">
        <v>1</v>
      </c>
      <c r="H59" s="26" t="s">
        <v>1420</v>
      </c>
      <c r="I59" t="s">
        <v>1</v>
      </c>
      <c r="J59" t="s">
        <v>1</v>
      </c>
      <c r="K59" t="s">
        <v>1</v>
      </c>
      <c r="L59" t="s">
        <v>1</v>
      </c>
      <c r="M59" t="s">
        <v>1</v>
      </c>
      <c r="N59" t="s">
        <v>1</v>
      </c>
      <c r="O59" t="s">
        <v>1</v>
      </c>
      <c r="P59" t="s">
        <v>1</v>
      </c>
      <c r="Q59" t="s">
        <v>1</v>
      </c>
      <c r="R59" t="s">
        <v>1</v>
      </c>
      <c r="S59" t="s">
        <v>1</v>
      </c>
      <c r="T59" t="s">
        <v>1</v>
      </c>
      <c r="U59" t="s">
        <v>1</v>
      </c>
      <c r="V59" t="s">
        <v>1</v>
      </c>
      <c r="W59" t="s">
        <v>1</v>
      </c>
      <c r="X59" t="s">
        <v>1</v>
      </c>
      <c r="Y59" t="s">
        <v>1</v>
      </c>
      <c r="Z59" t="s">
        <v>1</v>
      </c>
      <c r="AA59" t="s">
        <v>1</v>
      </c>
      <c r="AB59" t="s">
        <v>1</v>
      </c>
      <c r="AC59" t="s">
        <v>1</v>
      </c>
      <c r="AD59" t="s">
        <v>1</v>
      </c>
      <c r="AE59" t="s">
        <v>1</v>
      </c>
      <c r="AF59" t="s">
        <v>1</v>
      </c>
      <c r="AG59" t="s">
        <v>1</v>
      </c>
      <c r="AH59" t="s">
        <v>1</v>
      </c>
      <c r="AI59" t="s">
        <v>1</v>
      </c>
      <c r="AJ59" t="s">
        <v>1</v>
      </c>
      <c r="AK59" t="s">
        <v>1</v>
      </c>
      <c r="AL59" t="s">
        <v>1</v>
      </c>
      <c r="AM59" t="s">
        <v>1</v>
      </c>
      <c r="AN59">
        <v>58</v>
      </c>
      <c r="AO59">
        <f t="shared" si="2"/>
        <v>58</v>
      </c>
      <c r="AP59">
        <f t="shared" si="0"/>
        <v>5</v>
      </c>
      <c r="AQ59">
        <f t="shared" si="1"/>
        <v>5</v>
      </c>
      <c r="AR59" s="26" t="s">
        <v>1355</v>
      </c>
      <c r="AS59" s="26" t="s">
        <v>1356</v>
      </c>
      <c r="AT59" t="s">
        <v>709</v>
      </c>
      <c r="AU59" t="s">
        <v>1</v>
      </c>
      <c r="AV59" t="s">
        <v>1</v>
      </c>
      <c r="AW59">
        <v>55.47</v>
      </c>
      <c r="AX59">
        <v>9.1</v>
      </c>
      <c r="AY59" t="s">
        <v>737</v>
      </c>
      <c r="BA59" s="3">
        <v>2</v>
      </c>
      <c r="BB59" s="3"/>
      <c r="BC59" s="3"/>
      <c r="BD59" s="3"/>
      <c r="BE59" s="3"/>
      <c r="BF59">
        <v>1989</v>
      </c>
      <c r="BG59" s="24" t="s">
        <v>733</v>
      </c>
      <c r="BH59" s="24" t="s">
        <v>733</v>
      </c>
      <c r="BI59" s="24" t="s">
        <v>733</v>
      </c>
      <c r="BJ59" s="24" t="s">
        <v>732</v>
      </c>
      <c r="BK59" s="24" t="s">
        <v>733</v>
      </c>
      <c r="BL59" s="25" t="s">
        <v>733</v>
      </c>
      <c r="BM59" s="24" t="s">
        <v>733</v>
      </c>
      <c r="BN59" s="24" t="s">
        <v>732</v>
      </c>
      <c r="BO59" s="24" t="s">
        <v>733</v>
      </c>
      <c r="BP59" s="24" t="s">
        <v>733</v>
      </c>
      <c r="BQ59" s="24" t="s">
        <v>945</v>
      </c>
      <c r="BR59" s="24" t="s">
        <v>945</v>
      </c>
      <c r="BS59" s="25" t="s">
        <v>934</v>
      </c>
      <c r="BT59" s="24" t="s">
        <v>934</v>
      </c>
      <c r="BU59" s="24" t="s">
        <v>934</v>
      </c>
      <c r="BV59" s="24" t="s">
        <v>934</v>
      </c>
      <c r="BW59" s="24" t="s">
        <v>934</v>
      </c>
      <c r="BX59" s="24" t="s">
        <v>934</v>
      </c>
      <c r="BY59" s="25" t="s">
        <v>945</v>
      </c>
      <c r="BZ59" t="s">
        <v>64</v>
      </c>
      <c r="CB59" t="s">
        <v>1</v>
      </c>
      <c r="CC59" s="4">
        <f>1552*10</f>
        <v>15520</v>
      </c>
      <c r="CD59" s="4"/>
      <c r="CE59" s="4"/>
      <c r="CF59" t="s">
        <v>793</v>
      </c>
      <c r="CG59">
        <v>100</v>
      </c>
      <c r="CH59" t="s">
        <v>805</v>
      </c>
      <c r="CI59" s="28">
        <v>1.2</v>
      </c>
      <c r="CJ59" s="10" t="s">
        <v>1442</v>
      </c>
      <c r="CK59" t="s">
        <v>807</v>
      </c>
      <c r="CL59" s="4">
        <f>671*10</f>
        <v>6710</v>
      </c>
      <c r="CM59" t="s">
        <v>847</v>
      </c>
      <c r="CN59" s="4">
        <f>27.5*10</f>
        <v>275</v>
      </c>
      <c r="CO59" s="4"/>
      <c r="CP59" s="4" t="s">
        <v>1</v>
      </c>
      <c r="CQ59" s="4" t="s">
        <v>1</v>
      </c>
      <c r="CR59" s="4" t="s">
        <v>1</v>
      </c>
      <c r="CS59" s="4" t="s">
        <v>1</v>
      </c>
      <c r="CT59" s="4" t="s">
        <v>1</v>
      </c>
      <c r="CU59" s="4" t="s">
        <v>1</v>
      </c>
      <c r="CV59" t="s">
        <v>855</v>
      </c>
      <c r="CW59">
        <v>100</v>
      </c>
      <c r="CX59">
        <v>0</v>
      </c>
      <c r="CY59">
        <v>30</v>
      </c>
      <c r="CZ59" s="26" t="s">
        <v>1358</v>
      </c>
      <c r="DA59" t="s">
        <v>734</v>
      </c>
      <c r="DB59">
        <v>81.8</v>
      </c>
      <c r="DC59">
        <v>0</v>
      </c>
      <c r="DD59">
        <v>30</v>
      </c>
      <c r="DE59" s="26" t="s">
        <v>1358</v>
      </c>
      <c r="DF59" t="s">
        <v>735</v>
      </c>
      <c r="DG59">
        <v>9.6999999999999993</v>
      </c>
      <c r="DH59">
        <v>0</v>
      </c>
      <c r="DI59">
        <v>30</v>
      </c>
      <c r="DJ59" s="26" t="s">
        <v>1358</v>
      </c>
      <c r="DK59" t="s">
        <v>736</v>
      </c>
      <c r="DL59">
        <v>8.5</v>
      </c>
      <c r="DM59">
        <v>0</v>
      </c>
      <c r="DN59">
        <v>30</v>
      </c>
      <c r="DO59" s="26" t="s">
        <v>1358</v>
      </c>
      <c r="DP59" t="s">
        <v>6</v>
      </c>
      <c r="DQ59" t="s">
        <v>814</v>
      </c>
      <c r="DR59">
        <v>6.5</v>
      </c>
      <c r="DS59">
        <v>0</v>
      </c>
      <c r="DT59">
        <v>30</v>
      </c>
      <c r="DU59" s="26" t="s">
        <v>1358</v>
      </c>
      <c r="EA59" t="s">
        <v>982</v>
      </c>
      <c r="EB59">
        <v>26</v>
      </c>
      <c r="EC59">
        <v>0</v>
      </c>
      <c r="ED59">
        <v>30</v>
      </c>
      <c r="EE59" s="26" t="s">
        <v>1358</v>
      </c>
      <c r="EF59" s="26"/>
      <c r="FZ59" t="s">
        <v>806</v>
      </c>
      <c r="GA59">
        <v>949</v>
      </c>
      <c r="GE59" s="26" t="s">
        <v>1358</v>
      </c>
      <c r="HA59" s="5" t="s">
        <v>1</v>
      </c>
      <c r="HB59" s="4" t="s">
        <v>1</v>
      </c>
      <c r="HC59" t="s">
        <v>1</v>
      </c>
      <c r="HD59" t="s">
        <v>1</v>
      </c>
      <c r="HE59" t="s">
        <v>1</v>
      </c>
      <c r="HF59" s="5" t="s">
        <v>1063</v>
      </c>
      <c r="HG59" s="4">
        <v>2.0399999999999996</v>
      </c>
      <c r="HH59">
        <v>0</v>
      </c>
      <c r="HI59">
        <v>30</v>
      </c>
      <c r="HJ59" s="26" t="s">
        <v>1358</v>
      </c>
      <c r="HK59" t="s">
        <v>815</v>
      </c>
      <c r="HL59" s="34">
        <v>1.55</v>
      </c>
      <c r="HM59">
        <v>0</v>
      </c>
      <c r="HN59">
        <v>30</v>
      </c>
      <c r="HO59" t="s">
        <v>1448</v>
      </c>
      <c r="HP59" s="26" t="s">
        <v>1358</v>
      </c>
      <c r="HZ59" t="s">
        <v>968</v>
      </c>
      <c r="IA59">
        <v>300</v>
      </c>
      <c r="IB59" s="10" t="s">
        <v>1</v>
      </c>
      <c r="IC59" s="10"/>
      <c r="ID59" s="10"/>
      <c r="IE59" s="10" t="s">
        <v>1</v>
      </c>
      <c r="IF59" s="10" t="s">
        <v>1</v>
      </c>
      <c r="IG59" s="10"/>
      <c r="IH59" s="10"/>
      <c r="II59" s="10"/>
      <c r="IJ59" s="10"/>
      <c r="IK59" s="10"/>
      <c r="IL59" s="10"/>
      <c r="IM59" s="10"/>
      <c r="IN59" s="10"/>
      <c r="IO59" s="10"/>
      <c r="IP59" s="10"/>
      <c r="IQ59" s="10"/>
      <c r="IR59" s="10"/>
      <c r="IS59" t="s">
        <v>1</v>
      </c>
      <c r="IT59" t="s">
        <v>1</v>
      </c>
      <c r="IW59" t="s">
        <v>1</v>
      </c>
      <c r="IX59" t="s">
        <v>1</v>
      </c>
      <c r="IY59" t="s">
        <v>1</v>
      </c>
      <c r="IZ59" t="s">
        <v>1</v>
      </c>
      <c r="JA59" t="s">
        <v>1</v>
      </c>
      <c r="JB59" s="4" t="s">
        <v>1</v>
      </c>
      <c r="JC59" t="s">
        <v>1</v>
      </c>
      <c r="JD59" s="4" t="s">
        <v>1</v>
      </c>
      <c r="JE59" t="s">
        <v>1</v>
      </c>
      <c r="JF59" t="s">
        <v>1</v>
      </c>
      <c r="JR59" t="s">
        <v>1066</v>
      </c>
      <c r="JS59">
        <v>190.3</v>
      </c>
      <c r="JU59" t="s">
        <v>1</v>
      </c>
      <c r="JW59" t="s">
        <v>1</v>
      </c>
      <c r="JX59">
        <v>0</v>
      </c>
      <c r="JY59">
        <v>150</v>
      </c>
      <c r="JZ59" t="s">
        <v>796</v>
      </c>
      <c r="KA59" t="s">
        <v>46</v>
      </c>
      <c r="KB59" t="s">
        <v>738</v>
      </c>
      <c r="KC59" t="s">
        <v>1</v>
      </c>
      <c r="KD59" t="s">
        <v>1</v>
      </c>
      <c r="KE59" t="s">
        <v>1</v>
      </c>
      <c r="KF59" t="s">
        <v>1</v>
      </c>
      <c r="KG59" t="s">
        <v>1</v>
      </c>
      <c r="KH59" t="s">
        <v>1</v>
      </c>
      <c r="KI59" t="s">
        <v>1</v>
      </c>
      <c r="KJ59" t="s">
        <v>1</v>
      </c>
      <c r="KK59" t="s">
        <v>1</v>
      </c>
    </row>
    <row r="60" spans="1:297" x14ac:dyDescent="0.2">
      <c r="A60">
        <v>59</v>
      </c>
      <c r="B60" t="s">
        <v>705</v>
      </c>
      <c r="C60" t="s">
        <v>59</v>
      </c>
      <c r="D60" t="s">
        <v>44</v>
      </c>
      <c r="E60">
        <v>5</v>
      </c>
      <c r="F60" t="s">
        <v>1297</v>
      </c>
      <c r="G60" t="s">
        <v>1</v>
      </c>
      <c r="H60" s="26" t="s">
        <v>1420</v>
      </c>
      <c r="I60" t="s">
        <v>1</v>
      </c>
      <c r="J60" t="s">
        <v>1</v>
      </c>
      <c r="K60" t="s">
        <v>1</v>
      </c>
      <c r="L60" t="s">
        <v>1</v>
      </c>
      <c r="M60" t="s">
        <v>1</v>
      </c>
      <c r="N60" t="s">
        <v>1</v>
      </c>
      <c r="O60" t="s">
        <v>1</v>
      </c>
      <c r="P60" t="s">
        <v>1</v>
      </c>
      <c r="Q60" t="s">
        <v>1</v>
      </c>
      <c r="R60" t="s">
        <v>1</v>
      </c>
      <c r="S60" t="s">
        <v>1</v>
      </c>
      <c r="T60" t="s">
        <v>1</v>
      </c>
      <c r="U60" t="s">
        <v>1</v>
      </c>
      <c r="V60" t="s">
        <v>1</v>
      </c>
      <c r="W60" t="s">
        <v>1</v>
      </c>
      <c r="X60" t="s">
        <v>1</v>
      </c>
      <c r="Y60" t="s">
        <v>1</v>
      </c>
      <c r="Z60" t="s">
        <v>1</v>
      </c>
      <c r="AA60" t="s">
        <v>1</v>
      </c>
      <c r="AB60" t="s">
        <v>1</v>
      </c>
      <c r="AC60" t="s">
        <v>1</v>
      </c>
      <c r="AD60" t="s">
        <v>1</v>
      </c>
      <c r="AE60" t="s">
        <v>1</v>
      </c>
      <c r="AF60" t="s">
        <v>1</v>
      </c>
      <c r="AG60" t="s">
        <v>1</v>
      </c>
      <c r="AH60" t="s">
        <v>1</v>
      </c>
      <c r="AI60" t="s">
        <v>1</v>
      </c>
      <c r="AJ60" t="s">
        <v>1</v>
      </c>
      <c r="AK60" t="s">
        <v>1</v>
      </c>
      <c r="AL60" t="s">
        <v>1</v>
      </c>
      <c r="AM60" t="s">
        <v>1</v>
      </c>
      <c r="AN60">
        <v>59</v>
      </c>
      <c r="AO60">
        <f t="shared" si="2"/>
        <v>59</v>
      </c>
      <c r="AP60">
        <f t="shared" si="0"/>
        <v>5</v>
      </c>
      <c r="AQ60">
        <f t="shared" si="1"/>
        <v>5</v>
      </c>
      <c r="AR60" s="26" t="s">
        <v>1355</v>
      </c>
      <c r="AS60" s="26" t="s">
        <v>1356</v>
      </c>
      <c r="AT60" t="s">
        <v>709</v>
      </c>
      <c r="AU60" t="s">
        <v>1</v>
      </c>
      <c r="AV60" t="s">
        <v>1</v>
      </c>
      <c r="AW60">
        <v>55.47</v>
      </c>
      <c r="AX60">
        <v>9.1</v>
      </c>
      <c r="AY60" t="s">
        <v>737</v>
      </c>
      <c r="BA60" s="3">
        <v>2</v>
      </c>
      <c r="BB60" s="3"/>
      <c r="BC60" s="3"/>
      <c r="BD60" s="3"/>
      <c r="BE60" s="3"/>
      <c r="BF60">
        <v>1989</v>
      </c>
      <c r="BG60" s="24" t="s">
        <v>733</v>
      </c>
      <c r="BH60" s="24" t="s">
        <v>733</v>
      </c>
      <c r="BI60" s="24" t="s">
        <v>733</v>
      </c>
      <c r="BJ60" s="24" t="s">
        <v>732</v>
      </c>
      <c r="BK60" s="24" t="s">
        <v>733</v>
      </c>
      <c r="BL60" s="25" t="s">
        <v>733</v>
      </c>
      <c r="BM60" s="24" t="s">
        <v>733</v>
      </c>
      <c r="BN60" s="24" t="s">
        <v>732</v>
      </c>
      <c r="BO60" s="24" t="s">
        <v>733</v>
      </c>
      <c r="BP60" s="24" t="s">
        <v>733</v>
      </c>
      <c r="BQ60" s="24" t="s">
        <v>945</v>
      </c>
      <c r="BR60" s="24" t="s">
        <v>945</v>
      </c>
      <c r="BS60" s="25" t="s">
        <v>934</v>
      </c>
      <c r="BT60" s="24" t="s">
        <v>934</v>
      </c>
      <c r="BU60" s="24" t="s">
        <v>934</v>
      </c>
      <c r="BV60" s="24" t="s">
        <v>934</v>
      </c>
      <c r="BW60" s="24" t="s">
        <v>934</v>
      </c>
      <c r="BX60" s="24" t="s">
        <v>934</v>
      </c>
      <c r="BY60" s="25" t="s">
        <v>945</v>
      </c>
      <c r="BZ60" t="s">
        <v>64</v>
      </c>
      <c r="CB60" t="s">
        <v>1</v>
      </c>
      <c r="CC60" s="4">
        <f>1714*10</f>
        <v>17140</v>
      </c>
      <c r="CD60" s="4"/>
      <c r="CE60" s="4"/>
      <c r="CF60" t="s">
        <v>793</v>
      </c>
      <c r="CG60">
        <v>100</v>
      </c>
      <c r="CH60" t="s">
        <v>805</v>
      </c>
      <c r="CI60" s="28">
        <v>1.2</v>
      </c>
      <c r="CJ60" s="10" t="s">
        <v>1442</v>
      </c>
      <c r="CK60" t="s">
        <v>807</v>
      </c>
      <c r="CL60" s="4">
        <f>488*10</f>
        <v>4880</v>
      </c>
      <c r="CM60" t="s">
        <v>847</v>
      </c>
      <c r="CN60" s="4">
        <f>20.9*10</f>
        <v>209</v>
      </c>
      <c r="CO60" s="4"/>
      <c r="CP60" s="4" t="s">
        <v>1</v>
      </c>
      <c r="CQ60" s="4" t="s">
        <v>1</v>
      </c>
      <c r="CR60" s="4" t="s">
        <v>1</v>
      </c>
      <c r="CS60" s="4" t="s">
        <v>1</v>
      </c>
      <c r="CT60" s="4" t="s">
        <v>1</v>
      </c>
      <c r="CU60" s="4" t="s">
        <v>1</v>
      </c>
      <c r="CV60" t="s">
        <v>855</v>
      </c>
      <c r="CW60">
        <v>100</v>
      </c>
      <c r="CX60">
        <v>0</v>
      </c>
      <c r="CY60">
        <v>30</v>
      </c>
      <c r="CZ60" s="26" t="s">
        <v>1358</v>
      </c>
      <c r="DA60" t="s">
        <v>734</v>
      </c>
      <c r="DB60">
        <v>81.8</v>
      </c>
      <c r="DC60">
        <v>0</v>
      </c>
      <c r="DD60">
        <v>30</v>
      </c>
      <c r="DE60" s="26" t="s">
        <v>1358</v>
      </c>
      <c r="DF60" t="s">
        <v>735</v>
      </c>
      <c r="DG60">
        <v>9.6999999999999993</v>
      </c>
      <c r="DH60">
        <v>0</v>
      </c>
      <c r="DI60">
        <v>30</v>
      </c>
      <c r="DJ60" s="26" t="s">
        <v>1358</v>
      </c>
      <c r="DK60" t="s">
        <v>736</v>
      </c>
      <c r="DL60">
        <v>8.5</v>
      </c>
      <c r="DM60">
        <v>0</v>
      </c>
      <c r="DN60">
        <v>30</v>
      </c>
      <c r="DO60" s="26" t="s">
        <v>1358</v>
      </c>
      <c r="DP60" t="s">
        <v>6</v>
      </c>
      <c r="DQ60" t="s">
        <v>814</v>
      </c>
      <c r="DR60">
        <v>6.5</v>
      </c>
      <c r="DS60">
        <v>0</v>
      </c>
      <c r="DT60">
        <v>30</v>
      </c>
      <c r="DU60" s="26" t="s">
        <v>1358</v>
      </c>
      <c r="EA60" t="s">
        <v>982</v>
      </c>
      <c r="EB60">
        <v>26</v>
      </c>
      <c r="EC60">
        <v>0</v>
      </c>
      <c r="ED60">
        <v>30</v>
      </c>
      <c r="EE60" s="26" t="s">
        <v>1358</v>
      </c>
      <c r="EF60" s="26"/>
      <c r="FZ60" t="s">
        <v>806</v>
      </c>
      <c r="GA60">
        <v>949</v>
      </c>
      <c r="GE60" s="26" t="s">
        <v>1358</v>
      </c>
      <c r="HA60" s="5" t="s">
        <v>1</v>
      </c>
      <c r="HB60" s="4" t="s">
        <v>1</v>
      </c>
      <c r="HC60" t="s">
        <v>1</v>
      </c>
      <c r="HD60" t="s">
        <v>1</v>
      </c>
      <c r="HE60" t="s">
        <v>1</v>
      </c>
      <c r="HF60" s="5" t="s">
        <v>1063</v>
      </c>
      <c r="HG60" s="4">
        <v>2.0399999999999996</v>
      </c>
      <c r="HH60">
        <v>0</v>
      </c>
      <c r="HI60">
        <v>30</v>
      </c>
      <c r="HJ60" s="26" t="s">
        <v>1358</v>
      </c>
      <c r="HK60" t="s">
        <v>815</v>
      </c>
      <c r="HL60" s="34">
        <v>1.55</v>
      </c>
      <c r="HM60">
        <v>0</v>
      </c>
      <c r="HN60">
        <v>30</v>
      </c>
      <c r="HO60" t="s">
        <v>1448</v>
      </c>
      <c r="HP60" s="26" t="s">
        <v>1358</v>
      </c>
      <c r="HZ60" t="s">
        <v>1</v>
      </c>
      <c r="IA60" t="s">
        <v>1</v>
      </c>
      <c r="IB60" s="10" t="s">
        <v>1</v>
      </c>
      <c r="IC60" s="10"/>
      <c r="ID60" s="10"/>
      <c r="IE60" s="10" t="s">
        <v>1</v>
      </c>
      <c r="IF60" s="10" t="s">
        <v>1</v>
      </c>
      <c r="IG60" s="10"/>
      <c r="IH60" s="10"/>
      <c r="II60" s="10"/>
      <c r="IJ60" s="10"/>
      <c r="IK60" s="10"/>
      <c r="IL60" s="10"/>
      <c r="IM60" s="10"/>
      <c r="IN60" s="10"/>
      <c r="IO60" s="10"/>
      <c r="IP60" s="10"/>
      <c r="IQ60" s="10"/>
      <c r="IR60" s="10"/>
      <c r="IS60" t="s">
        <v>1</v>
      </c>
      <c r="IT60" t="s">
        <v>1</v>
      </c>
      <c r="IW60" t="s">
        <v>979</v>
      </c>
      <c r="IX60">
        <v>351</v>
      </c>
      <c r="IY60" t="s">
        <v>1</v>
      </c>
      <c r="IZ60" t="s">
        <v>1</v>
      </c>
      <c r="JA60" t="s">
        <v>1</v>
      </c>
      <c r="JB60" s="4" t="s">
        <v>1</v>
      </c>
      <c r="JC60" t="s">
        <v>1</v>
      </c>
      <c r="JD60" s="4" t="s">
        <v>1</v>
      </c>
      <c r="JE60" t="s">
        <v>1</v>
      </c>
      <c r="JF60" t="s">
        <v>1</v>
      </c>
      <c r="JR60" t="s">
        <v>1066</v>
      </c>
      <c r="JS60">
        <v>239</v>
      </c>
      <c r="JU60" t="s">
        <v>1</v>
      </c>
      <c r="JW60" t="s">
        <v>1</v>
      </c>
      <c r="JX60">
        <v>0</v>
      </c>
      <c r="JY60">
        <v>150</v>
      </c>
      <c r="JZ60" t="s">
        <v>796</v>
      </c>
      <c r="KA60" t="s">
        <v>46</v>
      </c>
      <c r="KB60" t="s">
        <v>738</v>
      </c>
      <c r="KC60" t="s">
        <v>1</v>
      </c>
      <c r="KD60" t="s">
        <v>1</v>
      </c>
      <c r="KE60" t="s">
        <v>1</v>
      </c>
      <c r="KF60" t="s">
        <v>1</v>
      </c>
      <c r="KG60" t="s">
        <v>1</v>
      </c>
      <c r="KH60" t="s">
        <v>1</v>
      </c>
      <c r="KI60" t="s">
        <v>1</v>
      </c>
      <c r="KJ60" t="s">
        <v>1</v>
      </c>
      <c r="KK60" t="s">
        <v>1</v>
      </c>
    </row>
    <row r="61" spans="1:297" x14ac:dyDescent="0.2">
      <c r="A61">
        <v>60</v>
      </c>
      <c r="B61" t="s">
        <v>705</v>
      </c>
      <c r="C61" t="s">
        <v>60</v>
      </c>
      <c r="D61" t="s">
        <v>44</v>
      </c>
      <c r="E61">
        <v>5</v>
      </c>
      <c r="F61" t="s">
        <v>1297</v>
      </c>
      <c r="G61" t="s">
        <v>1</v>
      </c>
      <c r="H61" s="26" t="s">
        <v>1420</v>
      </c>
      <c r="I61" t="s">
        <v>1</v>
      </c>
      <c r="J61" t="s">
        <v>1</v>
      </c>
      <c r="K61" t="s">
        <v>1</v>
      </c>
      <c r="L61" t="s">
        <v>1</v>
      </c>
      <c r="M61" t="s">
        <v>1</v>
      </c>
      <c r="N61" t="s">
        <v>1</v>
      </c>
      <c r="O61" t="s">
        <v>1</v>
      </c>
      <c r="P61" t="s">
        <v>1</v>
      </c>
      <c r="Q61" t="s">
        <v>1</v>
      </c>
      <c r="R61" t="s">
        <v>1</v>
      </c>
      <c r="S61" t="s">
        <v>1</v>
      </c>
      <c r="T61" t="s">
        <v>1</v>
      </c>
      <c r="U61" t="s">
        <v>1</v>
      </c>
      <c r="V61" t="s">
        <v>1</v>
      </c>
      <c r="W61" t="s">
        <v>1</v>
      </c>
      <c r="X61" t="s">
        <v>1</v>
      </c>
      <c r="Y61" t="s">
        <v>1</v>
      </c>
      <c r="Z61" t="s">
        <v>1</v>
      </c>
      <c r="AA61" t="s">
        <v>1</v>
      </c>
      <c r="AB61" t="s">
        <v>1</v>
      </c>
      <c r="AC61" t="s">
        <v>1</v>
      </c>
      <c r="AD61" t="s">
        <v>1</v>
      </c>
      <c r="AE61" t="s">
        <v>1</v>
      </c>
      <c r="AF61" t="s">
        <v>1</v>
      </c>
      <c r="AG61" t="s">
        <v>1</v>
      </c>
      <c r="AH61" t="s">
        <v>1</v>
      </c>
      <c r="AI61" t="s">
        <v>1</v>
      </c>
      <c r="AJ61" t="s">
        <v>1</v>
      </c>
      <c r="AK61" t="s">
        <v>1</v>
      </c>
      <c r="AL61" t="s">
        <v>1</v>
      </c>
      <c r="AM61" t="s">
        <v>1</v>
      </c>
      <c r="AN61">
        <v>60</v>
      </c>
      <c r="AO61">
        <f t="shared" si="2"/>
        <v>60</v>
      </c>
      <c r="AP61">
        <f t="shared" si="0"/>
        <v>5</v>
      </c>
      <c r="AQ61">
        <f t="shared" si="1"/>
        <v>5</v>
      </c>
      <c r="AR61" s="26" t="s">
        <v>1355</v>
      </c>
      <c r="AS61" s="26" t="s">
        <v>1356</v>
      </c>
      <c r="AT61" t="s">
        <v>709</v>
      </c>
      <c r="AU61" t="s">
        <v>1</v>
      </c>
      <c r="AV61" t="s">
        <v>1</v>
      </c>
      <c r="AW61">
        <v>55.47</v>
      </c>
      <c r="AX61">
        <v>9.1</v>
      </c>
      <c r="AY61" t="s">
        <v>737</v>
      </c>
      <c r="BA61" s="3">
        <v>2</v>
      </c>
      <c r="BB61" s="3"/>
      <c r="BC61" s="3"/>
      <c r="BD61" s="3"/>
      <c r="BE61" s="3"/>
      <c r="BF61">
        <v>1989</v>
      </c>
      <c r="BG61" s="24" t="s">
        <v>733</v>
      </c>
      <c r="BH61" s="24" t="s">
        <v>733</v>
      </c>
      <c r="BI61" s="24" t="s">
        <v>733</v>
      </c>
      <c r="BJ61" s="24" t="s">
        <v>732</v>
      </c>
      <c r="BK61" s="24" t="s">
        <v>733</v>
      </c>
      <c r="BL61" s="25" t="s">
        <v>733</v>
      </c>
      <c r="BM61" s="24" t="s">
        <v>733</v>
      </c>
      <c r="BN61" s="24" t="s">
        <v>732</v>
      </c>
      <c r="BO61" s="24" t="s">
        <v>733</v>
      </c>
      <c r="BP61" s="24" t="s">
        <v>733</v>
      </c>
      <c r="BQ61" s="24" t="s">
        <v>945</v>
      </c>
      <c r="BR61" s="24" t="s">
        <v>945</v>
      </c>
      <c r="BS61" s="25" t="s">
        <v>934</v>
      </c>
      <c r="BT61" s="24" t="s">
        <v>934</v>
      </c>
      <c r="BU61" s="24" t="s">
        <v>934</v>
      </c>
      <c r="BV61" s="24" t="s">
        <v>934</v>
      </c>
      <c r="BW61" s="24" t="s">
        <v>934</v>
      </c>
      <c r="BX61" s="24" t="s">
        <v>934</v>
      </c>
      <c r="BY61" s="25" t="s">
        <v>945</v>
      </c>
      <c r="BZ61" t="s">
        <v>64</v>
      </c>
      <c r="CB61" t="s">
        <v>1</v>
      </c>
      <c r="CC61" s="4">
        <f>2065*10</f>
        <v>20650</v>
      </c>
      <c r="CD61" s="4"/>
      <c r="CE61" s="4"/>
      <c r="CF61" t="s">
        <v>793</v>
      </c>
      <c r="CG61">
        <v>100</v>
      </c>
      <c r="CH61" t="s">
        <v>805</v>
      </c>
      <c r="CI61" s="28">
        <v>1.2</v>
      </c>
      <c r="CJ61" s="10" t="s">
        <v>1442</v>
      </c>
      <c r="CK61" t="s">
        <v>807</v>
      </c>
      <c r="CL61" s="4">
        <f>647*10</f>
        <v>6470</v>
      </c>
      <c r="CM61" t="s">
        <v>847</v>
      </c>
      <c r="CN61" s="4">
        <f>29.8*10</f>
        <v>298</v>
      </c>
      <c r="CO61" s="4"/>
      <c r="CP61" s="4" t="s">
        <v>1</v>
      </c>
      <c r="CQ61" s="4" t="s">
        <v>1</v>
      </c>
      <c r="CR61" s="4" t="s">
        <v>1</v>
      </c>
      <c r="CS61" s="4" t="s">
        <v>1</v>
      </c>
      <c r="CT61" s="4" t="s">
        <v>1</v>
      </c>
      <c r="CU61" s="4" t="s">
        <v>1</v>
      </c>
      <c r="CV61" t="s">
        <v>855</v>
      </c>
      <c r="CW61">
        <v>100</v>
      </c>
      <c r="CX61">
        <v>0</v>
      </c>
      <c r="CY61">
        <v>30</v>
      </c>
      <c r="CZ61" s="26" t="s">
        <v>1358</v>
      </c>
      <c r="DA61" t="s">
        <v>734</v>
      </c>
      <c r="DB61">
        <v>81.8</v>
      </c>
      <c r="DC61">
        <v>0</v>
      </c>
      <c r="DD61">
        <v>30</v>
      </c>
      <c r="DE61" s="26" t="s">
        <v>1358</v>
      </c>
      <c r="DF61" t="s">
        <v>735</v>
      </c>
      <c r="DG61">
        <v>9.6999999999999993</v>
      </c>
      <c r="DH61">
        <v>0</v>
      </c>
      <c r="DI61">
        <v>30</v>
      </c>
      <c r="DJ61" s="26" t="s">
        <v>1358</v>
      </c>
      <c r="DK61" t="s">
        <v>736</v>
      </c>
      <c r="DL61">
        <v>8.5</v>
      </c>
      <c r="DM61">
        <v>0</v>
      </c>
      <c r="DN61">
        <v>30</v>
      </c>
      <c r="DO61" s="26" t="s">
        <v>1358</v>
      </c>
      <c r="DP61" t="s">
        <v>6</v>
      </c>
      <c r="DQ61" t="s">
        <v>814</v>
      </c>
      <c r="DR61">
        <v>6.5</v>
      </c>
      <c r="DS61">
        <v>0</v>
      </c>
      <c r="DT61">
        <v>30</v>
      </c>
      <c r="DU61" s="26" t="s">
        <v>1358</v>
      </c>
      <c r="EA61" t="s">
        <v>982</v>
      </c>
      <c r="EB61">
        <v>26</v>
      </c>
      <c r="EC61">
        <v>0</v>
      </c>
      <c r="ED61">
        <v>30</v>
      </c>
      <c r="EE61" s="26" t="s">
        <v>1358</v>
      </c>
      <c r="EF61" s="26"/>
      <c r="FZ61" t="s">
        <v>806</v>
      </c>
      <c r="GA61">
        <v>949</v>
      </c>
      <c r="GE61" s="26" t="s">
        <v>1358</v>
      </c>
      <c r="HA61" s="5" t="s">
        <v>1</v>
      </c>
      <c r="HB61" s="4" t="s">
        <v>1</v>
      </c>
      <c r="HC61" t="s">
        <v>1</v>
      </c>
      <c r="HD61" t="s">
        <v>1</v>
      </c>
      <c r="HE61" t="s">
        <v>1</v>
      </c>
      <c r="HF61" s="5" t="s">
        <v>1063</v>
      </c>
      <c r="HG61" s="4">
        <v>2.0399999999999996</v>
      </c>
      <c r="HH61">
        <v>0</v>
      </c>
      <c r="HI61">
        <v>30</v>
      </c>
      <c r="HJ61" s="26" t="s">
        <v>1358</v>
      </c>
      <c r="HK61" t="s">
        <v>815</v>
      </c>
      <c r="HL61" s="34">
        <v>1.55</v>
      </c>
      <c r="HM61">
        <v>0</v>
      </c>
      <c r="HN61">
        <v>30</v>
      </c>
      <c r="HO61" t="s">
        <v>1448</v>
      </c>
      <c r="HP61" s="26" t="s">
        <v>1358</v>
      </c>
      <c r="HZ61" t="s">
        <v>1</v>
      </c>
      <c r="IA61" t="s">
        <v>1</v>
      </c>
      <c r="IB61" s="10" t="s">
        <v>1</v>
      </c>
      <c r="IC61" s="10"/>
      <c r="ID61" s="10"/>
      <c r="IE61" s="10" t="s">
        <v>1</v>
      </c>
      <c r="IF61" s="10" t="s">
        <v>1</v>
      </c>
      <c r="IG61" s="10"/>
      <c r="IH61" s="10"/>
      <c r="II61" s="10"/>
      <c r="IJ61" s="10"/>
      <c r="IK61" s="10"/>
      <c r="IL61" s="10"/>
      <c r="IM61" s="10"/>
      <c r="IN61" s="10"/>
      <c r="IO61" s="10"/>
      <c r="IP61" s="10"/>
      <c r="IQ61" s="10"/>
      <c r="IR61" s="10"/>
      <c r="IS61" t="s">
        <v>1</v>
      </c>
      <c r="IT61" t="s">
        <v>1</v>
      </c>
      <c r="IW61" t="s">
        <v>979</v>
      </c>
      <c r="IX61">
        <v>526</v>
      </c>
      <c r="IY61" t="s">
        <v>1</v>
      </c>
      <c r="IZ61" t="s">
        <v>1</v>
      </c>
      <c r="JA61" t="s">
        <v>1</v>
      </c>
      <c r="JB61" s="4" t="s">
        <v>1</v>
      </c>
      <c r="JC61" t="s">
        <v>1</v>
      </c>
      <c r="JD61" s="4" t="s">
        <v>1</v>
      </c>
      <c r="JE61" t="s">
        <v>1</v>
      </c>
      <c r="JF61" t="s">
        <v>1</v>
      </c>
      <c r="JR61" t="s">
        <v>1066</v>
      </c>
      <c r="JS61">
        <v>287.7</v>
      </c>
      <c r="JU61" t="s">
        <v>1</v>
      </c>
      <c r="JW61" t="s">
        <v>1</v>
      </c>
      <c r="JX61">
        <v>0</v>
      </c>
      <c r="JY61">
        <v>150</v>
      </c>
      <c r="JZ61" t="s">
        <v>796</v>
      </c>
      <c r="KA61" t="s">
        <v>46</v>
      </c>
      <c r="KB61" t="s">
        <v>738</v>
      </c>
      <c r="KC61" t="s">
        <v>1</v>
      </c>
      <c r="KD61" t="s">
        <v>1</v>
      </c>
      <c r="KE61" t="s">
        <v>1</v>
      </c>
      <c r="KF61" t="s">
        <v>1</v>
      </c>
      <c r="KG61" t="s">
        <v>1</v>
      </c>
      <c r="KH61" t="s">
        <v>1</v>
      </c>
      <c r="KI61" t="s">
        <v>1</v>
      </c>
      <c r="KJ61" t="s">
        <v>1</v>
      </c>
      <c r="KK61" t="s">
        <v>1</v>
      </c>
    </row>
    <row r="62" spans="1:297" x14ac:dyDescent="0.2">
      <c r="A62">
        <v>61</v>
      </c>
      <c r="B62" t="s">
        <v>705</v>
      </c>
      <c r="C62" t="s">
        <v>67</v>
      </c>
      <c r="D62" t="s">
        <v>65</v>
      </c>
      <c r="E62">
        <v>6</v>
      </c>
      <c r="F62" t="s">
        <v>66</v>
      </c>
      <c r="G62" t="s">
        <v>1</v>
      </c>
      <c r="H62" s="26" t="s">
        <v>1420</v>
      </c>
      <c r="I62" t="s">
        <v>1</v>
      </c>
      <c r="J62" t="s">
        <v>1</v>
      </c>
      <c r="K62" t="s">
        <v>1</v>
      </c>
      <c r="L62" t="s">
        <v>1</v>
      </c>
      <c r="M62" t="s">
        <v>1</v>
      </c>
      <c r="N62" t="s">
        <v>1</v>
      </c>
      <c r="O62" t="s">
        <v>1</v>
      </c>
      <c r="P62" t="s">
        <v>1</v>
      </c>
      <c r="Q62" t="s">
        <v>1</v>
      </c>
      <c r="R62" t="s">
        <v>1</v>
      </c>
      <c r="S62" t="s">
        <v>1</v>
      </c>
      <c r="T62" t="s">
        <v>1</v>
      </c>
      <c r="U62" t="s">
        <v>1</v>
      </c>
      <c r="V62" t="s">
        <v>1</v>
      </c>
      <c r="W62" t="s">
        <v>1</v>
      </c>
      <c r="X62" t="s">
        <v>1</v>
      </c>
      <c r="Y62" t="s">
        <v>1</v>
      </c>
      <c r="Z62" t="s">
        <v>1</v>
      </c>
      <c r="AA62" t="s">
        <v>1</v>
      </c>
      <c r="AB62" t="s">
        <v>1</v>
      </c>
      <c r="AC62" t="s">
        <v>1</v>
      </c>
      <c r="AD62" t="s">
        <v>1</v>
      </c>
      <c r="AE62" t="s">
        <v>1</v>
      </c>
      <c r="AF62" t="s">
        <v>1</v>
      </c>
      <c r="AG62" t="s">
        <v>1</v>
      </c>
      <c r="AH62" t="s">
        <v>1</v>
      </c>
      <c r="AI62" t="s">
        <v>1</v>
      </c>
      <c r="AJ62" t="s">
        <v>1</v>
      </c>
      <c r="AK62" t="s">
        <v>1</v>
      </c>
      <c r="AL62" t="s">
        <v>1</v>
      </c>
      <c r="AM62" t="s">
        <v>1</v>
      </c>
      <c r="AN62">
        <v>61</v>
      </c>
      <c r="AO62">
        <f t="shared" si="2"/>
        <v>61</v>
      </c>
      <c r="AP62">
        <f t="shared" si="0"/>
        <v>6</v>
      </c>
      <c r="AQ62">
        <f t="shared" si="1"/>
        <v>6</v>
      </c>
      <c r="AR62" s="26" t="s">
        <v>1355</v>
      </c>
      <c r="AS62" s="26" t="s">
        <v>1356</v>
      </c>
      <c r="AT62" t="s">
        <v>710</v>
      </c>
      <c r="AU62" t="s">
        <v>1</v>
      </c>
      <c r="AV62" t="s">
        <v>1</v>
      </c>
      <c r="AW62">
        <v>37.89</v>
      </c>
      <c r="AX62">
        <v>114.68</v>
      </c>
      <c r="AY62" t="s">
        <v>737</v>
      </c>
      <c r="BA62" s="3">
        <v>3</v>
      </c>
      <c r="BB62" s="3"/>
      <c r="BC62" s="3"/>
      <c r="BD62" s="3"/>
      <c r="BE62" s="3"/>
      <c r="BF62">
        <v>2002</v>
      </c>
      <c r="BG62" s="24" t="s">
        <v>733</v>
      </c>
      <c r="BH62" s="24" t="s">
        <v>733</v>
      </c>
      <c r="BI62" s="24" t="s">
        <v>733</v>
      </c>
      <c r="BJ62" s="24" t="s">
        <v>732</v>
      </c>
      <c r="BK62" s="24" t="s">
        <v>733</v>
      </c>
      <c r="BL62" s="25" t="s">
        <v>733</v>
      </c>
      <c r="BM62" s="24" t="s">
        <v>733</v>
      </c>
      <c r="BN62" s="24" t="s">
        <v>732</v>
      </c>
      <c r="BO62" s="24" t="s">
        <v>733</v>
      </c>
      <c r="BP62" s="24" t="s">
        <v>733</v>
      </c>
      <c r="BQ62" s="24" t="s">
        <v>945</v>
      </c>
      <c r="BR62" s="24" t="s">
        <v>945</v>
      </c>
      <c r="BS62" s="25" t="s">
        <v>934</v>
      </c>
      <c r="BT62" s="24" t="s">
        <v>934</v>
      </c>
      <c r="BU62" s="24" t="s">
        <v>934</v>
      </c>
      <c r="BV62" s="24" t="s">
        <v>934</v>
      </c>
      <c r="BW62" s="24" t="s">
        <v>934</v>
      </c>
      <c r="BX62" s="24" t="s">
        <v>934</v>
      </c>
      <c r="BY62" s="25" t="s">
        <v>945</v>
      </c>
      <c r="BZ62" t="s">
        <v>1397</v>
      </c>
      <c r="CB62" t="s">
        <v>68</v>
      </c>
      <c r="CC62" s="4">
        <f>6241+4901</f>
        <v>11142</v>
      </c>
      <c r="CD62" s="4"/>
      <c r="CE62" s="4"/>
      <c r="CF62" t="s">
        <v>793</v>
      </c>
      <c r="CG62">
        <v>100</v>
      </c>
      <c r="CH62" t="s">
        <v>805</v>
      </c>
      <c r="CI62" s="6">
        <f t="shared" ref="CI62:CI67" si="4">AVERAGE(1.35,1)</f>
        <v>1.175</v>
      </c>
      <c r="CJ62" s="10" t="s">
        <v>1442</v>
      </c>
      <c r="CK62" t="s">
        <v>807</v>
      </c>
      <c r="CL62" s="4">
        <f>12237+12553</f>
        <v>24790</v>
      </c>
      <c r="CM62" t="s">
        <v>847</v>
      </c>
      <c r="CN62" s="4">
        <f>93+119+159+150</f>
        <v>521</v>
      </c>
      <c r="CO62" s="4"/>
      <c r="CP62" s="4" t="s">
        <v>1</v>
      </c>
      <c r="CQ62" s="4" t="s">
        <v>1</v>
      </c>
      <c r="CR62" s="4" t="s">
        <v>1</v>
      </c>
      <c r="CS62" s="4" t="s">
        <v>1</v>
      </c>
      <c r="CT62" s="4" t="s">
        <v>1</v>
      </c>
      <c r="CU62" s="4" t="s">
        <v>1</v>
      </c>
      <c r="CV62" t="s">
        <v>1068</v>
      </c>
      <c r="CW62">
        <v>100</v>
      </c>
      <c r="CX62">
        <v>0</v>
      </c>
      <c r="CY62">
        <v>30</v>
      </c>
      <c r="CZ62" s="26" t="s">
        <v>1358</v>
      </c>
      <c r="DA62" t="s">
        <v>734</v>
      </c>
      <c r="DB62">
        <v>39.799999999999997</v>
      </c>
      <c r="DC62">
        <v>0</v>
      </c>
      <c r="DD62">
        <v>30</v>
      </c>
      <c r="DE62" s="26" t="s">
        <v>1358</v>
      </c>
      <c r="DF62" t="s">
        <v>735</v>
      </c>
      <c r="DG62">
        <v>55.1</v>
      </c>
      <c r="DH62">
        <v>0</v>
      </c>
      <c r="DI62">
        <v>30</v>
      </c>
      <c r="DJ62" s="26" t="s">
        <v>1358</v>
      </c>
      <c r="DK62" t="s">
        <v>736</v>
      </c>
      <c r="DL62">
        <v>5.2</v>
      </c>
      <c r="DM62">
        <v>0</v>
      </c>
      <c r="DN62">
        <v>30</v>
      </c>
      <c r="DO62" s="26" t="s">
        <v>1358</v>
      </c>
      <c r="DP62" t="s">
        <v>1</v>
      </c>
      <c r="DQ62" t="s">
        <v>1</v>
      </c>
      <c r="DR62" t="s">
        <v>1</v>
      </c>
      <c r="DS62" t="s">
        <v>1</v>
      </c>
      <c r="DT62" t="s">
        <v>1</v>
      </c>
      <c r="DU62" t="s">
        <v>1</v>
      </c>
      <c r="EA62" t="s">
        <v>1</v>
      </c>
      <c r="EB62" t="s">
        <v>1</v>
      </c>
      <c r="EC62" t="s">
        <v>1</v>
      </c>
      <c r="ED62" t="s">
        <v>1</v>
      </c>
      <c r="EE62" t="s">
        <v>1</v>
      </c>
      <c r="FZ62" t="s">
        <v>806</v>
      </c>
      <c r="GA62">
        <v>382</v>
      </c>
      <c r="GE62" s="26" t="s">
        <v>1358</v>
      </c>
      <c r="HA62" s="5" t="s">
        <v>1</v>
      </c>
      <c r="HB62" s="4" t="s">
        <v>1</v>
      </c>
      <c r="HC62" t="s">
        <v>1</v>
      </c>
      <c r="HD62" t="s">
        <v>1</v>
      </c>
      <c r="HE62" t="s">
        <v>1</v>
      </c>
      <c r="HF62" s="5" t="s">
        <v>1063</v>
      </c>
      <c r="HG62" s="4">
        <v>3.4599999999999995</v>
      </c>
      <c r="HH62">
        <v>0</v>
      </c>
      <c r="HI62">
        <v>30</v>
      </c>
      <c r="HJ62" s="26" t="s">
        <v>1358</v>
      </c>
      <c r="HK62" t="s">
        <v>815</v>
      </c>
      <c r="HL62" s="34">
        <v>1.2933333333333332</v>
      </c>
      <c r="HM62">
        <v>0</v>
      </c>
      <c r="HN62">
        <v>30</v>
      </c>
      <c r="HO62" t="s">
        <v>1</v>
      </c>
      <c r="HP62" s="26" t="s">
        <v>1358</v>
      </c>
      <c r="HZ62" t="s">
        <v>969</v>
      </c>
      <c r="IA62">
        <v>200</v>
      </c>
      <c r="IB62" s="10" t="s">
        <v>1</v>
      </c>
      <c r="IC62" s="10"/>
      <c r="ID62" s="10"/>
      <c r="IE62" s="10" t="s">
        <v>1</v>
      </c>
      <c r="IF62" s="10" t="s">
        <v>1</v>
      </c>
      <c r="IG62" s="10"/>
      <c r="IH62" s="10"/>
      <c r="II62" s="10"/>
      <c r="IJ62" s="10"/>
      <c r="IK62" s="10"/>
      <c r="IL62" s="10"/>
      <c r="IM62" s="10"/>
      <c r="IN62" s="10"/>
      <c r="IO62" s="10"/>
      <c r="IP62" s="10"/>
      <c r="IQ62" s="10"/>
      <c r="IR62" s="10"/>
      <c r="IS62" t="s">
        <v>1</v>
      </c>
      <c r="IT62" t="s">
        <v>1</v>
      </c>
      <c r="IW62" t="s">
        <v>1</v>
      </c>
      <c r="IX62" t="s">
        <v>1</v>
      </c>
      <c r="IY62" t="s">
        <v>808</v>
      </c>
      <c r="IZ62">
        <v>6980</v>
      </c>
      <c r="JA62" t="s">
        <v>1065</v>
      </c>
      <c r="JB62" s="4">
        <v>31</v>
      </c>
      <c r="JC62" t="s">
        <v>1</v>
      </c>
      <c r="JD62" s="4" t="s">
        <v>1</v>
      </c>
      <c r="JE62" t="s">
        <v>810</v>
      </c>
      <c r="JF62">
        <v>100</v>
      </c>
      <c r="JR62" t="s">
        <v>1066</v>
      </c>
      <c r="JS62">
        <v>8.9</v>
      </c>
      <c r="JU62">
        <v>1</v>
      </c>
      <c r="JW62" t="s">
        <v>842</v>
      </c>
      <c r="JX62">
        <v>0</v>
      </c>
      <c r="JY62">
        <v>180</v>
      </c>
      <c r="JZ62" t="s">
        <v>800</v>
      </c>
      <c r="KA62" t="s">
        <v>69</v>
      </c>
      <c r="KB62" t="s">
        <v>738</v>
      </c>
      <c r="KC62" t="s">
        <v>1</v>
      </c>
      <c r="KD62" t="s">
        <v>1</v>
      </c>
      <c r="KE62" t="s">
        <v>1</v>
      </c>
      <c r="KF62" t="s">
        <v>1</v>
      </c>
      <c r="KG62" t="s">
        <v>1</v>
      </c>
      <c r="KH62" t="s">
        <v>1</v>
      </c>
      <c r="KI62" t="s">
        <v>1</v>
      </c>
      <c r="KJ62" t="s">
        <v>1</v>
      </c>
      <c r="KK62" t="s">
        <v>1</v>
      </c>
    </row>
    <row r="63" spans="1:297" x14ac:dyDescent="0.2">
      <c r="A63">
        <v>62</v>
      </c>
      <c r="B63" t="s">
        <v>705</v>
      </c>
      <c r="C63" t="s">
        <v>70</v>
      </c>
      <c r="D63" t="s">
        <v>65</v>
      </c>
      <c r="E63">
        <v>6</v>
      </c>
      <c r="F63" t="s">
        <v>66</v>
      </c>
      <c r="G63" t="s">
        <v>1</v>
      </c>
      <c r="H63" s="26" t="s">
        <v>1420</v>
      </c>
      <c r="I63" t="s">
        <v>1</v>
      </c>
      <c r="J63" t="s">
        <v>1</v>
      </c>
      <c r="K63" t="s">
        <v>1</v>
      </c>
      <c r="L63" t="s">
        <v>1</v>
      </c>
      <c r="M63" t="s">
        <v>1</v>
      </c>
      <c r="N63" t="s">
        <v>1</v>
      </c>
      <c r="O63" t="s">
        <v>1</v>
      </c>
      <c r="P63" t="s">
        <v>1</v>
      </c>
      <c r="Q63" t="s">
        <v>1</v>
      </c>
      <c r="R63" t="s">
        <v>1</v>
      </c>
      <c r="S63" t="s">
        <v>1</v>
      </c>
      <c r="T63" t="s">
        <v>1</v>
      </c>
      <c r="U63" t="s">
        <v>1</v>
      </c>
      <c r="V63" t="s">
        <v>1</v>
      </c>
      <c r="W63" t="s">
        <v>1</v>
      </c>
      <c r="X63" t="s">
        <v>1</v>
      </c>
      <c r="Y63" t="s">
        <v>1</v>
      </c>
      <c r="Z63" t="s">
        <v>1</v>
      </c>
      <c r="AA63" t="s">
        <v>1</v>
      </c>
      <c r="AB63" t="s">
        <v>1</v>
      </c>
      <c r="AC63" t="s">
        <v>1</v>
      </c>
      <c r="AD63" t="s">
        <v>1</v>
      </c>
      <c r="AE63" t="s">
        <v>1</v>
      </c>
      <c r="AF63" t="s">
        <v>1</v>
      </c>
      <c r="AG63" t="s">
        <v>1</v>
      </c>
      <c r="AH63" t="s">
        <v>1</v>
      </c>
      <c r="AI63" t="s">
        <v>1</v>
      </c>
      <c r="AJ63" t="s">
        <v>1</v>
      </c>
      <c r="AK63" t="s">
        <v>1</v>
      </c>
      <c r="AL63" t="s">
        <v>1</v>
      </c>
      <c r="AM63" t="s">
        <v>1</v>
      </c>
      <c r="AN63">
        <v>62</v>
      </c>
      <c r="AO63">
        <f t="shared" si="2"/>
        <v>62</v>
      </c>
      <c r="AP63">
        <f t="shared" si="0"/>
        <v>6</v>
      </c>
      <c r="AQ63">
        <f t="shared" si="1"/>
        <v>6</v>
      </c>
      <c r="AR63" s="26" t="s">
        <v>1355</v>
      </c>
      <c r="AS63" s="26" t="s">
        <v>1356</v>
      </c>
      <c r="AT63" t="s">
        <v>710</v>
      </c>
      <c r="AU63" t="s">
        <v>1</v>
      </c>
      <c r="AV63" t="s">
        <v>1</v>
      </c>
      <c r="AW63">
        <v>37.89</v>
      </c>
      <c r="AX63">
        <v>114.68</v>
      </c>
      <c r="AY63" t="s">
        <v>737</v>
      </c>
      <c r="BA63" s="3">
        <v>3</v>
      </c>
      <c r="BB63" s="3"/>
      <c r="BC63" s="3"/>
      <c r="BD63" s="3"/>
      <c r="BE63" s="3"/>
      <c r="BF63">
        <v>2002</v>
      </c>
      <c r="BG63" s="24" t="s">
        <v>733</v>
      </c>
      <c r="BH63" s="24" t="s">
        <v>733</v>
      </c>
      <c r="BI63" s="24" t="s">
        <v>733</v>
      </c>
      <c r="BJ63" s="24" t="s">
        <v>732</v>
      </c>
      <c r="BK63" s="24" t="s">
        <v>733</v>
      </c>
      <c r="BL63" s="25" t="s">
        <v>733</v>
      </c>
      <c r="BM63" s="24" t="s">
        <v>733</v>
      </c>
      <c r="BN63" s="24" t="s">
        <v>732</v>
      </c>
      <c r="BO63" s="24" t="s">
        <v>733</v>
      </c>
      <c r="BP63" s="24" t="s">
        <v>733</v>
      </c>
      <c r="BQ63" s="24" t="s">
        <v>945</v>
      </c>
      <c r="BR63" s="24" t="s">
        <v>945</v>
      </c>
      <c r="BS63" s="25" t="s">
        <v>934</v>
      </c>
      <c r="BT63" s="24" t="s">
        <v>934</v>
      </c>
      <c r="BU63" s="24" t="s">
        <v>934</v>
      </c>
      <c r="BV63" s="24" t="s">
        <v>934</v>
      </c>
      <c r="BW63" s="24" t="s">
        <v>934</v>
      </c>
      <c r="BX63" s="24" t="s">
        <v>934</v>
      </c>
      <c r="BY63" s="25" t="s">
        <v>945</v>
      </c>
      <c r="BZ63" t="s">
        <v>1397</v>
      </c>
      <c r="CB63" t="s">
        <v>68</v>
      </c>
      <c r="CC63" s="4">
        <f>6877+5113</f>
        <v>11990</v>
      </c>
      <c r="CD63" s="4"/>
      <c r="CE63" s="4"/>
      <c r="CF63" t="s">
        <v>793</v>
      </c>
      <c r="CG63">
        <v>100</v>
      </c>
      <c r="CH63" t="s">
        <v>805</v>
      </c>
      <c r="CI63" s="6">
        <f t="shared" si="4"/>
        <v>1.175</v>
      </c>
      <c r="CJ63" s="10" t="s">
        <v>1442</v>
      </c>
      <c r="CK63" t="s">
        <v>807</v>
      </c>
      <c r="CL63" s="4">
        <f>13428+12699</f>
        <v>26127</v>
      </c>
      <c r="CM63" t="s">
        <v>847</v>
      </c>
      <c r="CN63" s="4">
        <f>106+141+180+176</f>
        <v>603</v>
      </c>
      <c r="CO63" s="4"/>
      <c r="CP63" s="4" t="s">
        <v>1</v>
      </c>
      <c r="CQ63" s="4" t="s">
        <v>1</v>
      </c>
      <c r="CR63" s="4" t="s">
        <v>1</v>
      </c>
      <c r="CS63" s="4" t="s">
        <v>1</v>
      </c>
      <c r="CT63" s="4" t="s">
        <v>1</v>
      </c>
      <c r="CU63" s="4" t="s">
        <v>1</v>
      </c>
      <c r="CV63" t="s">
        <v>1068</v>
      </c>
      <c r="CW63">
        <v>100</v>
      </c>
      <c r="CX63">
        <v>0</v>
      </c>
      <c r="CY63">
        <v>30</v>
      </c>
      <c r="CZ63" s="26" t="s">
        <v>1358</v>
      </c>
      <c r="DA63" t="s">
        <v>734</v>
      </c>
      <c r="DB63">
        <v>39.799999999999997</v>
      </c>
      <c r="DC63">
        <v>0</v>
      </c>
      <c r="DD63">
        <v>30</v>
      </c>
      <c r="DE63" s="26" t="s">
        <v>1358</v>
      </c>
      <c r="DF63" t="s">
        <v>735</v>
      </c>
      <c r="DG63">
        <v>55.1</v>
      </c>
      <c r="DH63">
        <v>0</v>
      </c>
      <c r="DI63">
        <v>30</v>
      </c>
      <c r="DJ63" s="26" t="s">
        <v>1358</v>
      </c>
      <c r="DK63" t="s">
        <v>736</v>
      </c>
      <c r="DL63">
        <v>5.2</v>
      </c>
      <c r="DM63">
        <v>0</v>
      </c>
      <c r="DN63">
        <v>30</v>
      </c>
      <c r="DO63" s="26" t="s">
        <v>1358</v>
      </c>
      <c r="DP63" t="s">
        <v>1</v>
      </c>
      <c r="DQ63" t="s">
        <v>1</v>
      </c>
      <c r="DR63" t="s">
        <v>1</v>
      </c>
      <c r="DS63" t="s">
        <v>1</v>
      </c>
      <c r="DT63" t="s">
        <v>1</v>
      </c>
      <c r="DU63" t="s">
        <v>1</v>
      </c>
      <c r="EA63" t="s">
        <v>1</v>
      </c>
      <c r="EB63" t="s">
        <v>1</v>
      </c>
      <c r="EC63" t="s">
        <v>1</v>
      </c>
      <c r="ED63" t="s">
        <v>1</v>
      </c>
      <c r="EE63" t="s">
        <v>1</v>
      </c>
      <c r="FZ63" t="s">
        <v>806</v>
      </c>
      <c r="GA63">
        <v>382</v>
      </c>
      <c r="GE63" s="26" t="s">
        <v>1358</v>
      </c>
      <c r="HA63" s="5" t="s">
        <v>1</v>
      </c>
      <c r="HB63" s="4" t="s">
        <v>1</v>
      </c>
      <c r="HC63" t="s">
        <v>1</v>
      </c>
      <c r="HD63" t="s">
        <v>1</v>
      </c>
      <c r="HE63" t="s">
        <v>1</v>
      </c>
      <c r="HF63" s="5" t="s">
        <v>1063</v>
      </c>
      <c r="HG63" s="4">
        <v>4.9800000000000004</v>
      </c>
      <c r="HH63">
        <v>0</v>
      </c>
      <c r="HI63">
        <v>30</v>
      </c>
      <c r="HJ63" s="26" t="s">
        <v>1358</v>
      </c>
      <c r="HK63" t="s">
        <v>815</v>
      </c>
      <c r="HL63" s="34">
        <v>1.2933333333333332</v>
      </c>
      <c r="HM63">
        <v>0</v>
      </c>
      <c r="HN63">
        <v>30</v>
      </c>
      <c r="HO63" t="s">
        <v>1</v>
      </c>
      <c r="HP63" s="26" t="s">
        <v>1358</v>
      </c>
      <c r="HZ63" t="s">
        <v>969</v>
      </c>
      <c r="IA63">
        <v>400</v>
      </c>
      <c r="IB63" s="10" t="s">
        <v>1</v>
      </c>
      <c r="IC63" s="10"/>
      <c r="ID63" s="10"/>
      <c r="IE63" s="10" t="s">
        <v>1</v>
      </c>
      <c r="IF63" s="10" t="s">
        <v>1</v>
      </c>
      <c r="IG63" s="10"/>
      <c r="IH63" s="10"/>
      <c r="II63" s="10"/>
      <c r="IJ63" s="10"/>
      <c r="IK63" s="10"/>
      <c r="IL63" s="10"/>
      <c r="IM63" s="10"/>
      <c r="IN63" s="10"/>
      <c r="IO63" s="10"/>
      <c r="IP63" s="10"/>
      <c r="IQ63" s="10"/>
      <c r="IR63" s="10"/>
      <c r="IS63" t="s">
        <v>1</v>
      </c>
      <c r="IT63" t="s">
        <v>1</v>
      </c>
      <c r="IW63" t="s">
        <v>1</v>
      </c>
      <c r="IX63" t="s">
        <v>1</v>
      </c>
      <c r="IY63" t="s">
        <v>808</v>
      </c>
      <c r="IZ63">
        <v>6980</v>
      </c>
      <c r="JA63" t="s">
        <v>1065</v>
      </c>
      <c r="JB63" s="4">
        <v>31</v>
      </c>
      <c r="JC63" t="s">
        <v>1</v>
      </c>
      <c r="JD63" s="4" t="s">
        <v>1</v>
      </c>
      <c r="JE63" t="s">
        <v>810</v>
      </c>
      <c r="JF63">
        <v>100</v>
      </c>
      <c r="JR63" t="s">
        <v>1066</v>
      </c>
      <c r="JS63">
        <v>168.2</v>
      </c>
      <c r="JU63">
        <v>5</v>
      </c>
      <c r="JW63" t="s">
        <v>842</v>
      </c>
      <c r="JX63">
        <v>0</v>
      </c>
      <c r="JY63">
        <v>180</v>
      </c>
      <c r="JZ63" t="s">
        <v>800</v>
      </c>
      <c r="KA63" t="s">
        <v>69</v>
      </c>
      <c r="KB63" t="s">
        <v>738</v>
      </c>
      <c r="KC63" t="s">
        <v>1</v>
      </c>
      <c r="KD63" t="s">
        <v>1</v>
      </c>
      <c r="KE63" t="s">
        <v>1</v>
      </c>
      <c r="KF63" t="s">
        <v>1</v>
      </c>
      <c r="KG63" t="s">
        <v>1</v>
      </c>
      <c r="KH63" t="s">
        <v>1</v>
      </c>
      <c r="KI63" t="s">
        <v>1</v>
      </c>
      <c r="KJ63" t="s">
        <v>1</v>
      </c>
      <c r="KK63" t="s">
        <v>1</v>
      </c>
    </row>
    <row r="64" spans="1:297" x14ac:dyDescent="0.2">
      <c r="A64">
        <v>63</v>
      </c>
      <c r="B64" t="s">
        <v>705</v>
      </c>
      <c r="C64" t="s">
        <v>71</v>
      </c>
      <c r="D64" t="s">
        <v>65</v>
      </c>
      <c r="E64">
        <v>6</v>
      </c>
      <c r="F64" t="s">
        <v>66</v>
      </c>
      <c r="G64" t="s">
        <v>1</v>
      </c>
      <c r="H64" s="26" t="s">
        <v>1420</v>
      </c>
      <c r="I64" t="s">
        <v>1</v>
      </c>
      <c r="J64" t="s">
        <v>1</v>
      </c>
      <c r="K64" t="s">
        <v>1</v>
      </c>
      <c r="L64" t="s">
        <v>1</v>
      </c>
      <c r="M64" t="s">
        <v>1</v>
      </c>
      <c r="N64" t="s">
        <v>1</v>
      </c>
      <c r="O64" t="s">
        <v>1</v>
      </c>
      <c r="P64" t="s">
        <v>1</v>
      </c>
      <c r="Q64" t="s">
        <v>1</v>
      </c>
      <c r="R64" t="s">
        <v>1</v>
      </c>
      <c r="S64" t="s">
        <v>1</v>
      </c>
      <c r="T64" t="s">
        <v>1</v>
      </c>
      <c r="U64" t="s">
        <v>1</v>
      </c>
      <c r="V64" t="s">
        <v>1</v>
      </c>
      <c r="W64" t="s">
        <v>1</v>
      </c>
      <c r="X64" t="s">
        <v>1</v>
      </c>
      <c r="Y64" t="s">
        <v>1</v>
      </c>
      <c r="Z64" t="s">
        <v>1</v>
      </c>
      <c r="AA64" t="s">
        <v>1</v>
      </c>
      <c r="AB64" t="s">
        <v>1</v>
      </c>
      <c r="AC64" t="s">
        <v>1</v>
      </c>
      <c r="AD64" t="s">
        <v>1</v>
      </c>
      <c r="AE64" t="s">
        <v>1</v>
      </c>
      <c r="AF64" t="s">
        <v>1</v>
      </c>
      <c r="AG64" t="s">
        <v>1</v>
      </c>
      <c r="AH64" t="s">
        <v>1</v>
      </c>
      <c r="AI64" t="s">
        <v>1</v>
      </c>
      <c r="AJ64" t="s">
        <v>1</v>
      </c>
      <c r="AK64" t="s">
        <v>1</v>
      </c>
      <c r="AL64" t="s">
        <v>1</v>
      </c>
      <c r="AM64" t="s">
        <v>1</v>
      </c>
      <c r="AN64">
        <v>63</v>
      </c>
      <c r="AO64">
        <f t="shared" si="2"/>
        <v>63</v>
      </c>
      <c r="AP64">
        <f t="shared" si="0"/>
        <v>6</v>
      </c>
      <c r="AQ64">
        <f t="shared" si="1"/>
        <v>6</v>
      </c>
      <c r="AR64" s="26" t="s">
        <v>1355</v>
      </c>
      <c r="AS64" s="26" t="s">
        <v>1356</v>
      </c>
      <c r="AT64" t="s">
        <v>710</v>
      </c>
      <c r="AU64" t="s">
        <v>1</v>
      </c>
      <c r="AV64" t="s">
        <v>1</v>
      </c>
      <c r="AW64">
        <v>37.89</v>
      </c>
      <c r="AX64">
        <v>114.68</v>
      </c>
      <c r="AY64" t="s">
        <v>737</v>
      </c>
      <c r="BA64" s="3">
        <v>3</v>
      </c>
      <c r="BB64" s="3"/>
      <c r="BC64" s="3"/>
      <c r="BD64" s="3"/>
      <c r="BE64" s="3"/>
      <c r="BF64">
        <v>2002</v>
      </c>
      <c r="BG64" s="24" t="s">
        <v>733</v>
      </c>
      <c r="BH64" s="24" t="s">
        <v>733</v>
      </c>
      <c r="BI64" s="24" t="s">
        <v>733</v>
      </c>
      <c r="BJ64" s="24" t="s">
        <v>732</v>
      </c>
      <c r="BK64" s="24" t="s">
        <v>733</v>
      </c>
      <c r="BL64" s="25" t="s">
        <v>733</v>
      </c>
      <c r="BM64" s="24" t="s">
        <v>733</v>
      </c>
      <c r="BN64" s="24" t="s">
        <v>732</v>
      </c>
      <c r="BO64" s="24" t="s">
        <v>733</v>
      </c>
      <c r="BP64" s="24" t="s">
        <v>733</v>
      </c>
      <c r="BQ64" s="24" t="s">
        <v>945</v>
      </c>
      <c r="BR64" s="24" t="s">
        <v>945</v>
      </c>
      <c r="BS64" s="25" t="s">
        <v>934</v>
      </c>
      <c r="BT64" s="24" t="s">
        <v>934</v>
      </c>
      <c r="BU64" s="24" t="s">
        <v>934</v>
      </c>
      <c r="BV64" s="24" t="s">
        <v>934</v>
      </c>
      <c r="BW64" s="24" t="s">
        <v>934</v>
      </c>
      <c r="BX64" s="24" t="s">
        <v>934</v>
      </c>
      <c r="BY64" s="25" t="s">
        <v>945</v>
      </c>
      <c r="BZ64" t="s">
        <v>1397</v>
      </c>
      <c r="CB64" t="s">
        <v>68</v>
      </c>
      <c r="CC64" s="4">
        <f>6182+5563</f>
        <v>11745</v>
      </c>
      <c r="CD64" s="4"/>
      <c r="CE64" s="4"/>
      <c r="CF64" t="s">
        <v>793</v>
      </c>
      <c r="CG64">
        <v>100</v>
      </c>
      <c r="CH64" t="s">
        <v>805</v>
      </c>
      <c r="CI64" s="6">
        <f t="shared" si="4"/>
        <v>1.175</v>
      </c>
      <c r="CJ64" s="10" t="s">
        <v>1442</v>
      </c>
      <c r="CK64" t="s">
        <v>807</v>
      </c>
      <c r="CL64" s="4">
        <f>12079+13768</f>
        <v>25847</v>
      </c>
      <c r="CM64" t="s">
        <v>847</v>
      </c>
      <c r="CN64" s="4">
        <f>93+180+168+201</f>
        <v>642</v>
      </c>
      <c r="CO64" s="4"/>
      <c r="CP64" s="4" t="s">
        <v>1</v>
      </c>
      <c r="CQ64" s="4" t="s">
        <v>1</v>
      </c>
      <c r="CR64" s="4" t="s">
        <v>1</v>
      </c>
      <c r="CS64" s="4" t="s">
        <v>1</v>
      </c>
      <c r="CT64" s="4" t="s">
        <v>1</v>
      </c>
      <c r="CU64" s="4" t="s">
        <v>1</v>
      </c>
      <c r="CV64" t="s">
        <v>1068</v>
      </c>
      <c r="CW64">
        <v>100</v>
      </c>
      <c r="CX64">
        <v>0</v>
      </c>
      <c r="CY64">
        <v>30</v>
      </c>
      <c r="CZ64" s="26" t="s">
        <v>1358</v>
      </c>
      <c r="DA64" t="s">
        <v>734</v>
      </c>
      <c r="DB64">
        <v>39.799999999999997</v>
      </c>
      <c r="DC64">
        <v>0</v>
      </c>
      <c r="DD64">
        <v>30</v>
      </c>
      <c r="DE64" s="26" t="s">
        <v>1358</v>
      </c>
      <c r="DF64" t="s">
        <v>735</v>
      </c>
      <c r="DG64">
        <v>55.1</v>
      </c>
      <c r="DH64">
        <v>0</v>
      </c>
      <c r="DI64">
        <v>30</v>
      </c>
      <c r="DJ64" s="26" t="s">
        <v>1358</v>
      </c>
      <c r="DK64" t="s">
        <v>736</v>
      </c>
      <c r="DL64">
        <v>5.2</v>
      </c>
      <c r="DM64">
        <v>0</v>
      </c>
      <c r="DN64">
        <v>30</v>
      </c>
      <c r="DO64" s="26" t="s">
        <v>1358</v>
      </c>
      <c r="DP64" t="s">
        <v>1</v>
      </c>
      <c r="DQ64" t="s">
        <v>1</v>
      </c>
      <c r="DR64" t="s">
        <v>1</v>
      </c>
      <c r="DS64" t="s">
        <v>1</v>
      </c>
      <c r="DT64" t="s">
        <v>1</v>
      </c>
      <c r="DU64" t="s">
        <v>1</v>
      </c>
      <c r="EA64" t="s">
        <v>1</v>
      </c>
      <c r="EB64" t="s">
        <v>1</v>
      </c>
      <c r="EC64" t="s">
        <v>1</v>
      </c>
      <c r="ED64" t="s">
        <v>1</v>
      </c>
      <c r="EE64" t="s">
        <v>1</v>
      </c>
      <c r="FZ64" t="s">
        <v>806</v>
      </c>
      <c r="GA64">
        <v>382</v>
      </c>
      <c r="GE64" s="26" t="s">
        <v>1358</v>
      </c>
      <c r="HA64" s="5" t="s">
        <v>1</v>
      </c>
      <c r="HB64" s="4" t="s">
        <v>1</v>
      </c>
      <c r="HC64" t="s">
        <v>1</v>
      </c>
      <c r="HD64" t="s">
        <v>1</v>
      </c>
      <c r="HE64" t="s">
        <v>1</v>
      </c>
      <c r="HF64" s="5" t="s">
        <v>1063</v>
      </c>
      <c r="HG64" s="4">
        <v>29.499999999999996</v>
      </c>
      <c r="HH64">
        <v>0</v>
      </c>
      <c r="HI64">
        <v>30</v>
      </c>
      <c r="HJ64" s="26" t="s">
        <v>1358</v>
      </c>
      <c r="HK64" t="s">
        <v>815</v>
      </c>
      <c r="HL64" s="34">
        <v>1.2933333333333332</v>
      </c>
      <c r="HM64">
        <v>0</v>
      </c>
      <c r="HN64">
        <v>30</v>
      </c>
      <c r="HO64" t="s">
        <v>1</v>
      </c>
      <c r="HP64" s="26" t="s">
        <v>1358</v>
      </c>
      <c r="HZ64" t="s">
        <v>969</v>
      </c>
      <c r="IA64">
        <v>800</v>
      </c>
      <c r="IB64" s="10" t="s">
        <v>1</v>
      </c>
      <c r="IC64" s="10"/>
      <c r="ID64" s="10"/>
      <c r="IE64" s="10" t="s">
        <v>1</v>
      </c>
      <c r="IF64" s="10" t="s">
        <v>1</v>
      </c>
      <c r="IG64" s="10"/>
      <c r="IH64" s="10"/>
      <c r="II64" s="10"/>
      <c r="IJ64" s="10"/>
      <c r="IK64" s="10"/>
      <c r="IL64" s="10"/>
      <c r="IM64" s="10"/>
      <c r="IN64" s="10"/>
      <c r="IO64" s="10"/>
      <c r="IP64" s="10"/>
      <c r="IQ64" s="10"/>
      <c r="IR64" s="10"/>
      <c r="IS64" t="s">
        <v>1</v>
      </c>
      <c r="IT64" t="s">
        <v>1</v>
      </c>
      <c r="IW64" t="s">
        <v>1</v>
      </c>
      <c r="IX64" t="s">
        <v>1</v>
      </c>
      <c r="IY64" t="s">
        <v>808</v>
      </c>
      <c r="IZ64">
        <v>6980</v>
      </c>
      <c r="JA64" t="s">
        <v>1065</v>
      </c>
      <c r="JB64" s="4">
        <v>31</v>
      </c>
      <c r="JC64" t="s">
        <v>1</v>
      </c>
      <c r="JD64" s="4" t="s">
        <v>1</v>
      </c>
      <c r="JE64" t="s">
        <v>810</v>
      </c>
      <c r="JF64">
        <v>100</v>
      </c>
      <c r="JR64" t="s">
        <v>1066</v>
      </c>
      <c r="JS64">
        <v>708.3</v>
      </c>
      <c r="JU64">
        <v>49</v>
      </c>
      <c r="JW64" t="s">
        <v>842</v>
      </c>
      <c r="JX64">
        <v>0</v>
      </c>
      <c r="JY64">
        <v>180</v>
      </c>
      <c r="JZ64" t="s">
        <v>800</v>
      </c>
      <c r="KA64" t="s">
        <v>69</v>
      </c>
      <c r="KB64" t="s">
        <v>738</v>
      </c>
      <c r="KC64" t="s">
        <v>1</v>
      </c>
      <c r="KD64" t="s">
        <v>1</v>
      </c>
      <c r="KE64" t="s">
        <v>1</v>
      </c>
      <c r="KF64" t="s">
        <v>1</v>
      </c>
      <c r="KG64" t="s">
        <v>1</v>
      </c>
      <c r="KH64" t="s">
        <v>1</v>
      </c>
      <c r="KI64" t="s">
        <v>1</v>
      </c>
      <c r="KJ64" t="s">
        <v>1</v>
      </c>
      <c r="KK64" t="s">
        <v>1</v>
      </c>
    </row>
    <row r="65" spans="1:297" x14ac:dyDescent="0.2">
      <c r="A65">
        <v>64</v>
      </c>
      <c r="B65" t="s">
        <v>705</v>
      </c>
      <c r="C65" t="s">
        <v>67</v>
      </c>
      <c r="D65" t="s">
        <v>65</v>
      </c>
      <c r="E65">
        <v>6</v>
      </c>
      <c r="F65" t="s">
        <v>66</v>
      </c>
      <c r="G65" t="s">
        <v>1</v>
      </c>
      <c r="H65" s="26" t="s">
        <v>1420</v>
      </c>
      <c r="I65" t="s">
        <v>1</v>
      </c>
      <c r="J65" t="s">
        <v>1</v>
      </c>
      <c r="K65" t="s">
        <v>1</v>
      </c>
      <c r="L65" t="s">
        <v>1</v>
      </c>
      <c r="M65" t="s">
        <v>1</v>
      </c>
      <c r="N65" t="s">
        <v>1</v>
      </c>
      <c r="O65" t="s">
        <v>1</v>
      </c>
      <c r="P65" t="s">
        <v>1</v>
      </c>
      <c r="Q65" t="s">
        <v>1</v>
      </c>
      <c r="R65" t="s">
        <v>1</v>
      </c>
      <c r="S65" t="s">
        <v>1</v>
      </c>
      <c r="T65" t="s">
        <v>1</v>
      </c>
      <c r="U65" t="s">
        <v>1</v>
      </c>
      <c r="V65" t="s">
        <v>1</v>
      </c>
      <c r="W65" t="s">
        <v>1</v>
      </c>
      <c r="X65" t="s">
        <v>1</v>
      </c>
      <c r="Y65" t="s">
        <v>1</v>
      </c>
      <c r="Z65" t="s">
        <v>1</v>
      </c>
      <c r="AA65" t="s">
        <v>1</v>
      </c>
      <c r="AB65" t="s">
        <v>1</v>
      </c>
      <c r="AC65" t="s">
        <v>1</v>
      </c>
      <c r="AD65" t="s">
        <v>1</v>
      </c>
      <c r="AE65" t="s">
        <v>1</v>
      </c>
      <c r="AF65" t="s">
        <v>1</v>
      </c>
      <c r="AG65" t="s">
        <v>1</v>
      </c>
      <c r="AH65" t="s">
        <v>1</v>
      </c>
      <c r="AI65" t="s">
        <v>1</v>
      </c>
      <c r="AJ65" t="s">
        <v>1</v>
      </c>
      <c r="AK65" t="s">
        <v>1</v>
      </c>
      <c r="AL65" t="s">
        <v>1</v>
      </c>
      <c r="AM65" t="s">
        <v>1</v>
      </c>
      <c r="AN65">
        <v>64</v>
      </c>
      <c r="AO65">
        <f t="shared" si="2"/>
        <v>64</v>
      </c>
      <c r="AP65">
        <f t="shared" si="0"/>
        <v>6</v>
      </c>
      <c r="AQ65">
        <f t="shared" si="1"/>
        <v>6</v>
      </c>
      <c r="AR65" s="26" t="s">
        <v>1355</v>
      </c>
      <c r="AS65" s="26" t="s">
        <v>1356</v>
      </c>
      <c r="AT65" t="s">
        <v>710</v>
      </c>
      <c r="AU65" t="s">
        <v>1</v>
      </c>
      <c r="AV65" t="s">
        <v>1</v>
      </c>
      <c r="AW65">
        <v>37.89</v>
      </c>
      <c r="AX65">
        <v>114.68</v>
      </c>
      <c r="AY65" t="s">
        <v>737</v>
      </c>
      <c r="BA65" s="3">
        <v>3</v>
      </c>
      <c r="BB65" s="3"/>
      <c r="BC65" s="3"/>
      <c r="BD65" s="3"/>
      <c r="BE65" s="3"/>
      <c r="BF65">
        <v>2003</v>
      </c>
      <c r="BG65" s="24" t="s">
        <v>733</v>
      </c>
      <c r="BH65" s="24" t="s">
        <v>733</v>
      </c>
      <c r="BI65" s="24" t="s">
        <v>733</v>
      </c>
      <c r="BJ65" s="24" t="s">
        <v>732</v>
      </c>
      <c r="BK65" s="24" t="s">
        <v>733</v>
      </c>
      <c r="BL65" s="25" t="s">
        <v>733</v>
      </c>
      <c r="BM65" s="24" t="s">
        <v>733</v>
      </c>
      <c r="BN65" s="24" t="s">
        <v>732</v>
      </c>
      <c r="BO65" s="24" t="s">
        <v>733</v>
      </c>
      <c r="BP65" s="24" t="s">
        <v>733</v>
      </c>
      <c r="BQ65" s="24" t="s">
        <v>945</v>
      </c>
      <c r="BR65" s="24" t="s">
        <v>945</v>
      </c>
      <c r="BS65" s="25" t="s">
        <v>934</v>
      </c>
      <c r="BT65" s="24" t="s">
        <v>934</v>
      </c>
      <c r="BU65" s="24" t="s">
        <v>934</v>
      </c>
      <c r="BV65" s="24" t="s">
        <v>934</v>
      </c>
      <c r="BW65" s="24" t="s">
        <v>934</v>
      </c>
      <c r="BX65" s="24" t="s">
        <v>934</v>
      </c>
      <c r="BY65" s="25" t="s">
        <v>945</v>
      </c>
      <c r="BZ65" t="s">
        <v>1397</v>
      </c>
      <c r="CB65" t="s">
        <v>68</v>
      </c>
      <c r="CC65" s="4">
        <f>6150+3267</f>
        <v>9417</v>
      </c>
      <c r="CD65" s="4"/>
      <c r="CE65" s="4"/>
      <c r="CF65" t="s">
        <v>793</v>
      </c>
      <c r="CG65">
        <v>100</v>
      </c>
      <c r="CH65" t="s">
        <v>805</v>
      </c>
      <c r="CI65" s="6">
        <f t="shared" si="4"/>
        <v>1.175</v>
      </c>
      <c r="CJ65" s="10" t="s">
        <v>1442</v>
      </c>
      <c r="CK65" t="s">
        <v>807</v>
      </c>
      <c r="CL65" s="4">
        <f>12060+8167</f>
        <v>20227</v>
      </c>
      <c r="CM65" t="s">
        <v>847</v>
      </c>
      <c r="CN65" s="4">
        <f>91+74+157+95</f>
        <v>417</v>
      </c>
      <c r="CO65" s="4"/>
      <c r="CP65" s="4" t="s">
        <v>1</v>
      </c>
      <c r="CQ65" s="4" t="s">
        <v>1</v>
      </c>
      <c r="CR65" s="4" t="s">
        <v>1</v>
      </c>
      <c r="CS65" s="4" t="s">
        <v>1</v>
      </c>
      <c r="CT65" s="4" t="s">
        <v>1</v>
      </c>
      <c r="CU65" s="4" t="s">
        <v>1</v>
      </c>
      <c r="CV65" t="s">
        <v>1068</v>
      </c>
      <c r="CW65">
        <v>100</v>
      </c>
      <c r="CX65">
        <v>0</v>
      </c>
      <c r="CY65">
        <v>30</v>
      </c>
      <c r="CZ65" s="26" t="s">
        <v>1358</v>
      </c>
      <c r="DA65" t="s">
        <v>734</v>
      </c>
      <c r="DB65">
        <v>39.799999999999997</v>
      </c>
      <c r="DC65">
        <v>0</v>
      </c>
      <c r="DD65">
        <v>30</v>
      </c>
      <c r="DE65" s="26" t="s">
        <v>1358</v>
      </c>
      <c r="DF65" t="s">
        <v>735</v>
      </c>
      <c r="DG65">
        <v>55.1</v>
      </c>
      <c r="DH65">
        <v>0</v>
      </c>
      <c r="DI65">
        <v>30</v>
      </c>
      <c r="DJ65" s="26" t="s">
        <v>1358</v>
      </c>
      <c r="DK65" t="s">
        <v>736</v>
      </c>
      <c r="DL65">
        <v>5.2</v>
      </c>
      <c r="DM65">
        <v>0</v>
      </c>
      <c r="DN65">
        <v>30</v>
      </c>
      <c r="DO65" s="26" t="s">
        <v>1358</v>
      </c>
      <c r="DP65" t="s">
        <v>1</v>
      </c>
      <c r="DQ65" t="s">
        <v>1</v>
      </c>
      <c r="DR65" t="s">
        <v>1</v>
      </c>
      <c r="DS65" t="s">
        <v>1</v>
      </c>
      <c r="DT65" t="s">
        <v>1</v>
      </c>
      <c r="DU65" t="s">
        <v>1</v>
      </c>
      <c r="EA65" t="s">
        <v>1</v>
      </c>
      <c r="EB65" t="s">
        <v>1</v>
      </c>
      <c r="EC65" t="s">
        <v>1</v>
      </c>
      <c r="ED65" t="s">
        <v>1</v>
      </c>
      <c r="EE65" t="s">
        <v>1</v>
      </c>
      <c r="FZ65" t="s">
        <v>806</v>
      </c>
      <c r="GA65">
        <v>476</v>
      </c>
      <c r="GE65" s="26" t="s">
        <v>1358</v>
      </c>
      <c r="HA65" s="5" t="s">
        <v>1</v>
      </c>
      <c r="HB65" s="4" t="s">
        <v>1</v>
      </c>
      <c r="HC65" t="s">
        <v>1</v>
      </c>
      <c r="HD65" t="s">
        <v>1</v>
      </c>
      <c r="HE65" t="s">
        <v>1</v>
      </c>
      <c r="HF65" s="5" t="s">
        <v>1063</v>
      </c>
      <c r="HG65" s="4">
        <v>3.4599999999999995</v>
      </c>
      <c r="HH65">
        <v>0</v>
      </c>
      <c r="HI65">
        <v>30</v>
      </c>
      <c r="HJ65" s="26" t="s">
        <v>1358</v>
      </c>
      <c r="HK65" t="s">
        <v>815</v>
      </c>
      <c r="HL65" s="34">
        <v>1.2933333333333332</v>
      </c>
      <c r="HM65">
        <v>0</v>
      </c>
      <c r="HN65">
        <v>30</v>
      </c>
      <c r="HO65" t="s">
        <v>1</v>
      </c>
      <c r="HP65" s="26" t="s">
        <v>1358</v>
      </c>
      <c r="HZ65" t="s">
        <v>969</v>
      </c>
      <c r="IA65">
        <v>200</v>
      </c>
      <c r="IB65" s="10" t="s">
        <v>1</v>
      </c>
      <c r="IC65" s="10"/>
      <c r="ID65" s="10"/>
      <c r="IE65" s="10" t="s">
        <v>1</v>
      </c>
      <c r="IF65" s="10" t="s">
        <v>1</v>
      </c>
      <c r="IG65" s="10"/>
      <c r="IH65" s="10"/>
      <c r="II65" s="10"/>
      <c r="IJ65" s="10"/>
      <c r="IK65" s="10"/>
      <c r="IL65" s="10"/>
      <c r="IM65" s="10"/>
      <c r="IN65" s="10"/>
      <c r="IO65" s="10"/>
      <c r="IP65" s="10"/>
      <c r="IQ65" s="10"/>
      <c r="IR65" s="10"/>
      <c r="IS65" t="s">
        <v>1</v>
      </c>
      <c r="IT65" t="s">
        <v>1</v>
      </c>
      <c r="IW65" t="s">
        <v>1</v>
      </c>
      <c r="IX65" t="s">
        <v>1</v>
      </c>
      <c r="IY65" t="s">
        <v>808</v>
      </c>
      <c r="IZ65">
        <v>4200</v>
      </c>
      <c r="JA65" t="s">
        <v>1065</v>
      </c>
      <c r="JB65" s="4">
        <v>31</v>
      </c>
      <c r="JC65" t="s">
        <v>1</v>
      </c>
      <c r="JD65" s="4" t="s">
        <v>1</v>
      </c>
      <c r="JE65" t="s">
        <v>810</v>
      </c>
      <c r="JF65">
        <v>100</v>
      </c>
      <c r="JR65" t="s">
        <v>1066</v>
      </c>
      <c r="JS65">
        <v>26.6</v>
      </c>
      <c r="JU65">
        <v>5</v>
      </c>
      <c r="JW65" t="s">
        <v>842</v>
      </c>
      <c r="JX65">
        <v>0</v>
      </c>
      <c r="JY65">
        <v>180</v>
      </c>
      <c r="JZ65" t="s">
        <v>800</v>
      </c>
      <c r="KA65" t="s">
        <v>69</v>
      </c>
      <c r="KB65" t="s">
        <v>738</v>
      </c>
      <c r="KC65" t="s">
        <v>1</v>
      </c>
      <c r="KD65" t="s">
        <v>1</v>
      </c>
      <c r="KE65" t="s">
        <v>1</v>
      </c>
      <c r="KF65" t="s">
        <v>1</v>
      </c>
      <c r="KG65" t="s">
        <v>1</v>
      </c>
      <c r="KH65" t="s">
        <v>1</v>
      </c>
      <c r="KI65" t="s">
        <v>1</v>
      </c>
      <c r="KJ65" t="s">
        <v>1</v>
      </c>
      <c r="KK65" t="s">
        <v>1</v>
      </c>
    </row>
    <row r="66" spans="1:297" x14ac:dyDescent="0.2">
      <c r="A66">
        <v>65</v>
      </c>
      <c r="B66" t="s">
        <v>705</v>
      </c>
      <c r="C66" t="s">
        <v>70</v>
      </c>
      <c r="D66" t="s">
        <v>65</v>
      </c>
      <c r="E66">
        <v>6</v>
      </c>
      <c r="F66" t="s">
        <v>66</v>
      </c>
      <c r="G66" t="s">
        <v>1</v>
      </c>
      <c r="H66" s="26" t="s">
        <v>1420</v>
      </c>
      <c r="I66" t="s">
        <v>1</v>
      </c>
      <c r="J66" t="s">
        <v>1</v>
      </c>
      <c r="K66" t="s">
        <v>1</v>
      </c>
      <c r="L66" t="s">
        <v>1</v>
      </c>
      <c r="M66" t="s">
        <v>1</v>
      </c>
      <c r="N66" t="s">
        <v>1</v>
      </c>
      <c r="O66" t="s">
        <v>1</v>
      </c>
      <c r="P66" t="s">
        <v>1</v>
      </c>
      <c r="Q66" t="s">
        <v>1</v>
      </c>
      <c r="R66" t="s">
        <v>1</v>
      </c>
      <c r="S66" t="s">
        <v>1</v>
      </c>
      <c r="T66" t="s">
        <v>1</v>
      </c>
      <c r="U66" t="s">
        <v>1</v>
      </c>
      <c r="V66" t="s">
        <v>1</v>
      </c>
      <c r="W66" t="s">
        <v>1</v>
      </c>
      <c r="X66" t="s">
        <v>1</v>
      </c>
      <c r="Y66" t="s">
        <v>1</v>
      </c>
      <c r="Z66" t="s">
        <v>1</v>
      </c>
      <c r="AA66" t="s">
        <v>1</v>
      </c>
      <c r="AB66" t="s">
        <v>1</v>
      </c>
      <c r="AC66" t="s">
        <v>1</v>
      </c>
      <c r="AD66" t="s">
        <v>1</v>
      </c>
      <c r="AE66" t="s">
        <v>1</v>
      </c>
      <c r="AF66" t="s">
        <v>1</v>
      </c>
      <c r="AG66" t="s">
        <v>1</v>
      </c>
      <c r="AH66" t="s">
        <v>1</v>
      </c>
      <c r="AI66" t="s">
        <v>1</v>
      </c>
      <c r="AJ66" t="s">
        <v>1</v>
      </c>
      <c r="AK66" t="s">
        <v>1</v>
      </c>
      <c r="AL66" t="s">
        <v>1</v>
      </c>
      <c r="AM66" t="s">
        <v>1</v>
      </c>
      <c r="AN66">
        <v>65</v>
      </c>
      <c r="AO66">
        <f t="shared" si="2"/>
        <v>65</v>
      </c>
      <c r="AP66">
        <f t="shared" ref="AP66:AP129" si="5">E66</f>
        <v>6</v>
      </c>
      <c r="AQ66">
        <f t="shared" ref="AQ66:AQ129" si="6">E66</f>
        <v>6</v>
      </c>
      <c r="AR66" s="26" t="s">
        <v>1355</v>
      </c>
      <c r="AS66" s="26" t="s">
        <v>1356</v>
      </c>
      <c r="AT66" t="s">
        <v>710</v>
      </c>
      <c r="AU66" t="s">
        <v>1</v>
      </c>
      <c r="AV66" t="s">
        <v>1</v>
      </c>
      <c r="AW66">
        <v>37.89</v>
      </c>
      <c r="AX66">
        <v>114.68</v>
      </c>
      <c r="AY66" t="s">
        <v>737</v>
      </c>
      <c r="BA66" s="3">
        <v>3</v>
      </c>
      <c r="BB66" s="3"/>
      <c r="BC66" s="3"/>
      <c r="BD66" s="3"/>
      <c r="BE66" s="3"/>
      <c r="BF66">
        <v>2003</v>
      </c>
      <c r="BG66" s="24" t="s">
        <v>733</v>
      </c>
      <c r="BH66" s="24" t="s">
        <v>733</v>
      </c>
      <c r="BI66" s="24" t="s">
        <v>733</v>
      </c>
      <c r="BJ66" s="24" t="s">
        <v>732</v>
      </c>
      <c r="BK66" s="24" t="s">
        <v>733</v>
      </c>
      <c r="BL66" s="25" t="s">
        <v>733</v>
      </c>
      <c r="BM66" s="24" t="s">
        <v>733</v>
      </c>
      <c r="BN66" s="24" t="s">
        <v>732</v>
      </c>
      <c r="BO66" s="24" t="s">
        <v>733</v>
      </c>
      <c r="BP66" s="24" t="s">
        <v>733</v>
      </c>
      <c r="BQ66" s="24" t="s">
        <v>945</v>
      </c>
      <c r="BR66" s="24" t="s">
        <v>945</v>
      </c>
      <c r="BS66" s="25" t="s">
        <v>934</v>
      </c>
      <c r="BT66" s="24" t="s">
        <v>934</v>
      </c>
      <c r="BU66" s="24" t="s">
        <v>934</v>
      </c>
      <c r="BV66" s="24" t="s">
        <v>934</v>
      </c>
      <c r="BW66" s="24" t="s">
        <v>934</v>
      </c>
      <c r="BX66" s="24" t="s">
        <v>934</v>
      </c>
      <c r="BY66" s="25" t="s">
        <v>945</v>
      </c>
      <c r="BZ66" t="s">
        <v>1397</v>
      </c>
      <c r="CB66" t="s">
        <v>68</v>
      </c>
      <c r="CC66" s="4">
        <f>6117+3967</f>
        <v>10084</v>
      </c>
      <c r="CD66" s="4"/>
      <c r="CE66" s="4"/>
      <c r="CF66" t="s">
        <v>793</v>
      </c>
      <c r="CG66">
        <v>100</v>
      </c>
      <c r="CH66" t="s">
        <v>805</v>
      </c>
      <c r="CI66" s="6">
        <f t="shared" si="4"/>
        <v>1.175</v>
      </c>
      <c r="CJ66" s="10" t="s">
        <v>1442</v>
      </c>
      <c r="CK66" t="s">
        <v>807</v>
      </c>
      <c r="CL66" s="4">
        <f>11918+9784</f>
        <v>21702</v>
      </c>
      <c r="CM66" t="s">
        <v>847</v>
      </c>
      <c r="CN66" s="4">
        <f>97+93+158+120</f>
        <v>468</v>
      </c>
      <c r="CO66" s="4"/>
      <c r="CP66" s="4" t="s">
        <v>1</v>
      </c>
      <c r="CQ66" s="4" t="s">
        <v>1</v>
      </c>
      <c r="CR66" s="4" t="s">
        <v>1</v>
      </c>
      <c r="CS66" s="4" t="s">
        <v>1</v>
      </c>
      <c r="CT66" s="4" t="s">
        <v>1</v>
      </c>
      <c r="CU66" s="4" t="s">
        <v>1</v>
      </c>
      <c r="CV66" t="s">
        <v>1068</v>
      </c>
      <c r="CW66">
        <v>100</v>
      </c>
      <c r="CX66">
        <v>0</v>
      </c>
      <c r="CY66">
        <v>30</v>
      </c>
      <c r="CZ66" s="26" t="s">
        <v>1358</v>
      </c>
      <c r="DA66" t="s">
        <v>734</v>
      </c>
      <c r="DB66">
        <v>39.799999999999997</v>
      </c>
      <c r="DC66">
        <v>0</v>
      </c>
      <c r="DD66">
        <v>30</v>
      </c>
      <c r="DE66" s="26" t="s">
        <v>1358</v>
      </c>
      <c r="DF66" t="s">
        <v>735</v>
      </c>
      <c r="DG66">
        <v>55.1</v>
      </c>
      <c r="DH66">
        <v>0</v>
      </c>
      <c r="DI66">
        <v>30</v>
      </c>
      <c r="DJ66" s="26" t="s">
        <v>1358</v>
      </c>
      <c r="DK66" t="s">
        <v>736</v>
      </c>
      <c r="DL66">
        <v>5.2</v>
      </c>
      <c r="DM66">
        <v>0</v>
      </c>
      <c r="DN66">
        <v>30</v>
      </c>
      <c r="DO66" s="26" t="s">
        <v>1358</v>
      </c>
      <c r="DP66" t="s">
        <v>1</v>
      </c>
      <c r="DQ66" t="s">
        <v>1</v>
      </c>
      <c r="DR66" t="s">
        <v>1</v>
      </c>
      <c r="DS66" t="s">
        <v>1</v>
      </c>
      <c r="DT66" t="s">
        <v>1</v>
      </c>
      <c r="DU66" t="s">
        <v>1</v>
      </c>
      <c r="EA66" t="s">
        <v>1</v>
      </c>
      <c r="EB66" t="s">
        <v>1</v>
      </c>
      <c r="EC66" t="s">
        <v>1</v>
      </c>
      <c r="ED66" t="s">
        <v>1</v>
      </c>
      <c r="EE66" t="s">
        <v>1</v>
      </c>
      <c r="FZ66" t="s">
        <v>806</v>
      </c>
      <c r="GA66">
        <v>476</v>
      </c>
      <c r="GE66" s="26" t="s">
        <v>1358</v>
      </c>
      <c r="HA66" s="5" t="s">
        <v>1</v>
      </c>
      <c r="HB66" s="4" t="s">
        <v>1</v>
      </c>
      <c r="HC66" t="s">
        <v>1</v>
      </c>
      <c r="HD66" t="s">
        <v>1</v>
      </c>
      <c r="HE66" t="s">
        <v>1</v>
      </c>
      <c r="HF66" s="5" t="s">
        <v>1063</v>
      </c>
      <c r="HG66" s="4">
        <v>4.9800000000000004</v>
      </c>
      <c r="HH66">
        <v>0</v>
      </c>
      <c r="HI66">
        <v>30</v>
      </c>
      <c r="HJ66" s="26" t="s">
        <v>1358</v>
      </c>
      <c r="HK66" t="s">
        <v>815</v>
      </c>
      <c r="HL66" s="34">
        <v>1.2933333333333332</v>
      </c>
      <c r="HM66">
        <v>0</v>
      </c>
      <c r="HN66">
        <v>30</v>
      </c>
      <c r="HO66" t="s">
        <v>1</v>
      </c>
      <c r="HP66" s="26" t="s">
        <v>1358</v>
      </c>
      <c r="HZ66" t="s">
        <v>969</v>
      </c>
      <c r="IA66">
        <v>400</v>
      </c>
      <c r="IB66" s="10" t="s">
        <v>1</v>
      </c>
      <c r="IC66" s="10"/>
      <c r="ID66" s="10"/>
      <c r="IE66" s="10" t="s">
        <v>1</v>
      </c>
      <c r="IF66" s="10" t="s">
        <v>1</v>
      </c>
      <c r="IG66" s="10"/>
      <c r="IH66" s="10"/>
      <c r="II66" s="10"/>
      <c r="IJ66" s="10"/>
      <c r="IK66" s="10"/>
      <c r="IL66" s="10"/>
      <c r="IM66" s="10"/>
      <c r="IN66" s="10"/>
      <c r="IO66" s="10"/>
      <c r="IP66" s="10"/>
      <c r="IQ66" s="10"/>
      <c r="IR66" s="10"/>
      <c r="IS66" t="s">
        <v>1</v>
      </c>
      <c r="IT66" t="s">
        <v>1</v>
      </c>
      <c r="IW66" t="s">
        <v>1</v>
      </c>
      <c r="IX66" t="s">
        <v>1</v>
      </c>
      <c r="IY66" t="s">
        <v>808</v>
      </c>
      <c r="IZ66">
        <v>4200</v>
      </c>
      <c r="JA66" t="s">
        <v>1065</v>
      </c>
      <c r="JB66" s="4">
        <v>31</v>
      </c>
      <c r="JC66" t="s">
        <v>1</v>
      </c>
      <c r="JD66" s="4" t="s">
        <v>1</v>
      </c>
      <c r="JE66" t="s">
        <v>810</v>
      </c>
      <c r="JF66">
        <v>100</v>
      </c>
      <c r="JR66" t="s">
        <v>1066</v>
      </c>
      <c r="JS66">
        <v>203.6</v>
      </c>
      <c r="JU66">
        <v>17</v>
      </c>
      <c r="JW66" t="s">
        <v>842</v>
      </c>
      <c r="JX66">
        <v>0</v>
      </c>
      <c r="JY66">
        <v>180</v>
      </c>
      <c r="JZ66" t="s">
        <v>800</v>
      </c>
      <c r="KA66" t="s">
        <v>69</v>
      </c>
      <c r="KB66" t="s">
        <v>738</v>
      </c>
      <c r="KC66" t="s">
        <v>1</v>
      </c>
      <c r="KD66" t="s">
        <v>1</v>
      </c>
      <c r="KE66" t="s">
        <v>1</v>
      </c>
      <c r="KF66" t="s">
        <v>1</v>
      </c>
      <c r="KG66" t="s">
        <v>1</v>
      </c>
      <c r="KH66" t="s">
        <v>1</v>
      </c>
      <c r="KI66" t="s">
        <v>1</v>
      </c>
      <c r="KJ66" t="s">
        <v>1</v>
      </c>
      <c r="KK66" t="s">
        <v>1</v>
      </c>
    </row>
    <row r="67" spans="1:297" x14ac:dyDescent="0.2">
      <c r="A67">
        <v>66</v>
      </c>
      <c r="B67" t="s">
        <v>705</v>
      </c>
      <c r="C67" t="s">
        <v>71</v>
      </c>
      <c r="D67" t="s">
        <v>65</v>
      </c>
      <c r="E67">
        <v>6</v>
      </c>
      <c r="F67" t="s">
        <v>66</v>
      </c>
      <c r="G67" t="s">
        <v>1</v>
      </c>
      <c r="H67" s="26" t="s">
        <v>1420</v>
      </c>
      <c r="I67" t="s">
        <v>1</v>
      </c>
      <c r="J67" t="s">
        <v>1</v>
      </c>
      <c r="K67" t="s">
        <v>1</v>
      </c>
      <c r="L67" t="s">
        <v>1</v>
      </c>
      <c r="M67" t="s">
        <v>1</v>
      </c>
      <c r="N67" t="s">
        <v>1</v>
      </c>
      <c r="O67" t="s">
        <v>1</v>
      </c>
      <c r="P67" t="s">
        <v>1</v>
      </c>
      <c r="Q67" t="s">
        <v>1</v>
      </c>
      <c r="R67" t="s">
        <v>1</v>
      </c>
      <c r="S67" t="s">
        <v>1</v>
      </c>
      <c r="T67" t="s">
        <v>1</v>
      </c>
      <c r="U67" t="s">
        <v>1</v>
      </c>
      <c r="V67" t="s">
        <v>1</v>
      </c>
      <c r="W67" t="s">
        <v>1</v>
      </c>
      <c r="X67" t="s">
        <v>1</v>
      </c>
      <c r="Y67" t="s">
        <v>1</v>
      </c>
      <c r="Z67" t="s">
        <v>1</v>
      </c>
      <c r="AA67" t="s">
        <v>1</v>
      </c>
      <c r="AB67" t="s">
        <v>1</v>
      </c>
      <c r="AC67" t="s">
        <v>1</v>
      </c>
      <c r="AD67" t="s">
        <v>1</v>
      </c>
      <c r="AE67" t="s">
        <v>1</v>
      </c>
      <c r="AF67" t="s">
        <v>1</v>
      </c>
      <c r="AG67" t="s">
        <v>1</v>
      </c>
      <c r="AH67" t="s">
        <v>1</v>
      </c>
      <c r="AI67" t="s">
        <v>1</v>
      </c>
      <c r="AJ67" t="s">
        <v>1</v>
      </c>
      <c r="AK67" t="s">
        <v>1</v>
      </c>
      <c r="AL67" t="s">
        <v>1</v>
      </c>
      <c r="AM67" t="s">
        <v>1</v>
      </c>
      <c r="AN67">
        <v>66</v>
      </c>
      <c r="AO67">
        <f t="shared" ref="AO67:AO130" si="7">AN67</f>
        <v>66</v>
      </c>
      <c r="AP67">
        <f t="shared" si="5"/>
        <v>6</v>
      </c>
      <c r="AQ67">
        <f t="shared" si="6"/>
        <v>6</v>
      </c>
      <c r="AR67" s="26" t="s">
        <v>1355</v>
      </c>
      <c r="AS67" s="26" t="s">
        <v>1356</v>
      </c>
      <c r="AT67" t="s">
        <v>710</v>
      </c>
      <c r="AU67" t="s">
        <v>1</v>
      </c>
      <c r="AV67" t="s">
        <v>1</v>
      </c>
      <c r="AW67">
        <v>37.89</v>
      </c>
      <c r="AX67">
        <v>114.68</v>
      </c>
      <c r="AY67" t="s">
        <v>737</v>
      </c>
      <c r="BA67" s="3">
        <v>3</v>
      </c>
      <c r="BB67" s="3"/>
      <c r="BC67" s="3"/>
      <c r="BD67" s="3"/>
      <c r="BE67" s="3"/>
      <c r="BF67">
        <v>2003</v>
      </c>
      <c r="BG67" s="24" t="s">
        <v>733</v>
      </c>
      <c r="BH67" s="24" t="s">
        <v>733</v>
      </c>
      <c r="BI67" s="24" t="s">
        <v>733</v>
      </c>
      <c r="BJ67" s="24" t="s">
        <v>732</v>
      </c>
      <c r="BK67" s="24" t="s">
        <v>733</v>
      </c>
      <c r="BL67" s="25" t="s">
        <v>733</v>
      </c>
      <c r="BM67" s="24" t="s">
        <v>733</v>
      </c>
      <c r="BN67" s="24" t="s">
        <v>732</v>
      </c>
      <c r="BO67" s="24" t="s">
        <v>733</v>
      </c>
      <c r="BP67" s="24" t="s">
        <v>733</v>
      </c>
      <c r="BQ67" s="24" t="s">
        <v>945</v>
      </c>
      <c r="BR67" s="24" t="s">
        <v>945</v>
      </c>
      <c r="BS67" s="25" t="s">
        <v>934</v>
      </c>
      <c r="BT67" s="24" t="s">
        <v>934</v>
      </c>
      <c r="BU67" s="24" t="s">
        <v>934</v>
      </c>
      <c r="BV67" s="24" t="s">
        <v>934</v>
      </c>
      <c r="BW67" s="24" t="s">
        <v>934</v>
      </c>
      <c r="BX67" s="24" t="s">
        <v>934</v>
      </c>
      <c r="BY67" s="25" t="s">
        <v>945</v>
      </c>
      <c r="BZ67" t="s">
        <v>1397</v>
      </c>
      <c r="CB67" t="s">
        <v>68</v>
      </c>
      <c r="CC67" s="4">
        <f>5906+4300</f>
        <v>10206</v>
      </c>
      <c r="CD67" s="4"/>
      <c r="CE67" s="4"/>
      <c r="CF67" t="s">
        <v>793</v>
      </c>
      <c r="CG67">
        <v>100</v>
      </c>
      <c r="CH67" t="s">
        <v>805</v>
      </c>
      <c r="CI67" s="6">
        <f t="shared" si="4"/>
        <v>1.175</v>
      </c>
      <c r="CJ67" s="10" t="s">
        <v>1442</v>
      </c>
      <c r="CK67" t="s">
        <v>807</v>
      </c>
      <c r="CL67" s="4">
        <f>11637+10621</f>
        <v>22258</v>
      </c>
      <c r="CM67" t="s">
        <v>847</v>
      </c>
      <c r="CN67" s="4">
        <f>98+159+163+139</f>
        <v>559</v>
      </c>
      <c r="CO67" s="4"/>
      <c r="CP67" s="4" t="s">
        <v>1</v>
      </c>
      <c r="CQ67" s="4" t="s">
        <v>1</v>
      </c>
      <c r="CR67" s="4" t="s">
        <v>1</v>
      </c>
      <c r="CS67" s="4" t="s">
        <v>1</v>
      </c>
      <c r="CT67" s="4" t="s">
        <v>1</v>
      </c>
      <c r="CU67" s="4" t="s">
        <v>1</v>
      </c>
      <c r="CV67" t="s">
        <v>1068</v>
      </c>
      <c r="CW67">
        <v>100</v>
      </c>
      <c r="CX67">
        <v>0</v>
      </c>
      <c r="CY67">
        <v>30</v>
      </c>
      <c r="CZ67" s="26" t="s">
        <v>1358</v>
      </c>
      <c r="DA67" t="s">
        <v>734</v>
      </c>
      <c r="DB67">
        <v>39.799999999999997</v>
      </c>
      <c r="DC67">
        <v>0</v>
      </c>
      <c r="DD67">
        <v>30</v>
      </c>
      <c r="DE67" s="26" t="s">
        <v>1358</v>
      </c>
      <c r="DF67" t="s">
        <v>735</v>
      </c>
      <c r="DG67">
        <v>55.1</v>
      </c>
      <c r="DH67">
        <v>0</v>
      </c>
      <c r="DI67">
        <v>30</v>
      </c>
      <c r="DJ67" s="26" t="s">
        <v>1358</v>
      </c>
      <c r="DK67" t="s">
        <v>736</v>
      </c>
      <c r="DL67">
        <v>5.2</v>
      </c>
      <c r="DM67">
        <v>0</v>
      </c>
      <c r="DN67">
        <v>30</v>
      </c>
      <c r="DO67" s="26" t="s">
        <v>1358</v>
      </c>
      <c r="DP67" t="s">
        <v>1</v>
      </c>
      <c r="DQ67" t="s">
        <v>1</v>
      </c>
      <c r="DR67" t="s">
        <v>1</v>
      </c>
      <c r="DS67" t="s">
        <v>1</v>
      </c>
      <c r="DT67" t="s">
        <v>1</v>
      </c>
      <c r="DU67" t="s">
        <v>1</v>
      </c>
      <c r="EA67" t="s">
        <v>1</v>
      </c>
      <c r="EB67" t="s">
        <v>1</v>
      </c>
      <c r="EC67" t="s">
        <v>1</v>
      </c>
      <c r="ED67" t="s">
        <v>1</v>
      </c>
      <c r="EE67" t="s">
        <v>1</v>
      </c>
      <c r="FZ67" t="s">
        <v>806</v>
      </c>
      <c r="GA67">
        <v>476</v>
      </c>
      <c r="GE67" s="26" t="s">
        <v>1358</v>
      </c>
      <c r="HA67" s="5" t="s">
        <v>1</v>
      </c>
      <c r="HB67" s="4" t="s">
        <v>1</v>
      </c>
      <c r="HC67" t="s">
        <v>1</v>
      </c>
      <c r="HD67" t="s">
        <v>1</v>
      </c>
      <c r="HE67" t="s">
        <v>1</v>
      </c>
      <c r="HF67" s="5" t="s">
        <v>1063</v>
      </c>
      <c r="HG67" s="4">
        <v>29.499999999999996</v>
      </c>
      <c r="HH67">
        <v>0</v>
      </c>
      <c r="HI67">
        <v>30</v>
      </c>
      <c r="HJ67" s="26" t="s">
        <v>1358</v>
      </c>
      <c r="HK67" t="s">
        <v>815</v>
      </c>
      <c r="HL67" s="34">
        <v>1.2933333333333332</v>
      </c>
      <c r="HM67">
        <v>0</v>
      </c>
      <c r="HN67">
        <v>30</v>
      </c>
      <c r="HO67" t="s">
        <v>1</v>
      </c>
      <c r="HP67" s="26" t="s">
        <v>1358</v>
      </c>
      <c r="HZ67" t="s">
        <v>969</v>
      </c>
      <c r="IA67">
        <v>800</v>
      </c>
      <c r="IB67" s="10" t="s">
        <v>1</v>
      </c>
      <c r="IC67" s="10"/>
      <c r="ID67" s="10"/>
      <c r="IE67" s="10" t="s">
        <v>1</v>
      </c>
      <c r="IF67" s="10" t="s">
        <v>1</v>
      </c>
      <c r="IG67" s="10"/>
      <c r="IH67" s="10"/>
      <c r="II67" s="10"/>
      <c r="IJ67" s="10"/>
      <c r="IK67" s="10"/>
      <c r="IL67" s="10"/>
      <c r="IM67" s="10"/>
      <c r="IN67" s="10"/>
      <c r="IO67" s="10"/>
      <c r="IP67" s="10"/>
      <c r="IQ67" s="10"/>
      <c r="IR67" s="10"/>
      <c r="IS67" t="s">
        <v>1</v>
      </c>
      <c r="IT67" t="s">
        <v>1</v>
      </c>
      <c r="IW67" t="s">
        <v>1</v>
      </c>
      <c r="IX67" t="s">
        <v>1</v>
      </c>
      <c r="IY67" t="s">
        <v>808</v>
      </c>
      <c r="IZ67">
        <v>4200</v>
      </c>
      <c r="JA67" t="s">
        <v>1065</v>
      </c>
      <c r="JB67" s="4">
        <v>31</v>
      </c>
      <c r="JC67" t="s">
        <v>1</v>
      </c>
      <c r="JD67" s="4" t="s">
        <v>1</v>
      </c>
      <c r="JE67" t="s">
        <v>810</v>
      </c>
      <c r="JF67">
        <v>100</v>
      </c>
      <c r="JR67" t="s">
        <v>1066</v>
      </c>
      <c r="JS67">
        <v>637.4</v>
      </c>
      <c r="JU67">
        <v>64</v>
      </c>
      <c r="JW67" t="s">
        <v>842</v>
      </c>
      <c r="JX67">
        <v>0</v>
      </c>
      <c r="JY67">
        <v>180</v>
      </c>
      <c r="JZ67" t="s">
        <v>800</v>
      </c>
      <c r="KA67" t="s">
        <v>72</v>
      </c>
      <c r="KB67" t="s">
        <v>738</v>
      </c>
      <c r="KC67" t="s">
        <v>1</v>
      </c>
      <c r="KD67" t="s">
        <v>1</v>
      </c>
      <c r="KE67" t="s">
        <v>1</v>
      </c>
      <c r="KF67" t="s">
        <v>1</v>
      </c>
      <c r="KG67" t="s">
        <v>1</v>
      </c>
      <c r="KH67" t="s">
        <v>1</v>
      </c>
      <c r="KI67" t="s">
        <v>1</v>
      </c>
      <c r="KJ67" t="s">
        <v>1</v>
      </c>
      <c r="KK67" t="s">
        <v>1</v>
      </c>
    </row>
    <row r="68" spans="1:297" x14ac:dyDescent="0.2">
      <c r="A68">
        <v>67</v>
      </c>
      <c r="B68" t="s">
        <v>705</v>
      </c>
      <c r="C68" t="s">
        <v>74</v>
      </c>
      <c r="D68" t="s">
        <v>73</v>
      </c>
      <c r="E68">
        <v>7</v>
      </c>
      <c r="F68" t="s">
        <v>1298</v>
      </c>
      <c r="G68" t="s">
        <v>1</v>
      </c>
      <c r="H68" s="26" t="s">
        <v>1420</v>
      </c>
      <c r="I68" t="s">
        <v>1</v>
      </c>
      <c r="J68" t="s">
        <v>1</v>
      </c>
      <c r="K68" t="s">
        <v>1</v>
      </c>
      <c r="L68" t="s">
        <v>1</v>
      </c>
      <c r="M68" t="s">
        <v>1</v>
      </c>
      <c r="N68" t="s">
        <v>1</v>
      </c>
      <c r="O68" t="s">
        <v>1</v>
      </c>
      <c r="P68" t="s">
        <v>1</v>
      </c>
      <c r="Q68" t="s">
        <v>1</v>
      </c>
      <c r="R68" t="s">
        <v>1</v>
      </c>
      <c r="S68" t="s">
        <v>1</v>
      </c>
      <c r="T68" t="s">
        <v>1</v>
      </c>
      <c r="U68" t="s">
        <v>1</v>
      </c>
      <c r="V68" t="s">
        <v>1</v>
      </c>
      <c r="W68" t="s">
        <v>1</v>
      </c>
      <c r="X68" t="s">
        <v>1</v>
      </c>
      <c r="Y68" t="s">
        <v>1</v>
      </c>
      <c r="Z68" t="s">
        <v>1</v>
      </c>
      <c r="AA68" t="s">
        <v>1</v>
      </c>
      <c r="AB68" t="s">
        <v>1</v>
      </c>
      <c r="AC68" t="s">
        <v>1</v>
      </c>
      <c r="AD68" t="s">
        <v>1</v>
      </c>
      <c r="AE68" t="s">
        <v>1</v>
      </c>
      <c r="AF68" t="s">
        <v>1</v>
      </c>
      <c r="AG68" t="s">
        <v>1</v>
      </c>
      <c r="AH68" t="s">
        <v>1</v>
      </c>
      <c r="AI68" t="s">
        <v>1</v>
      </c>
      <c r="AJ68" t="s">
        <v>1</v>
      </c>
      <c r="AK68" t="s">
        <v>1</v>
      </c>
      <c r="AL68" t="s">
        <v>1</v>
      </c>
      <c r="AM68" t="s">
        <v>1</v>
      </c>
      <c r="AN68">
        <v>67</v>
      </c>
      <c r="AO68">
        <f t="shared" si="7"/>
        <v>67</v>
      </c>
      <c r="AP68">
        <f t="shared" si="5"/>
        <v>7</v>
      </c>
      <c r="AQ68">
        <f t="shared" si="6"/>
        <v>7</v>
      </c>
      <c r="AR68" s="26" t="s">
        <v>1355</v>
      </c>
      <c r="AS68" s="26" t="s">
        <v>1356</v>
      </c>
      <c r="AT68" t="s">
        <v>711</v>
      </c>
      <c r="AU68" t="s">
        <v>1</v>
      </c>
      <c r="AV68" t="s">
        <v>1</v>
      </c>
      <c r="AW68">
        <v>42.8</v>
      </c>
      <c r="AX68">
        <v>-1.6</v>
      </c>
      <c r="AY68" t="s">
        <v>737</v>
      </c>
      <c r="BA68" s="3">
        <v>4</v>
      </c>
      <c r="BB68" s="3"/>
      <c r="BC68" s="3"/>
      <c r="BD68" s="3"/>
      <c r="BE68" s="3"/>
      <c r="BF68">
        <v>2005</v>
      </c>
      <c r="BG68" s="24" t="s">
        <v>733</v>
      </c>
      <c r="BH68" s="24" t="s">
        <v>733</v>
      </c>
      <c r="BI68" s="24" t="s">
        <v>733</v>
      </c>
      <c r="BJ68" s="24" t="s">
        <v>732</v>
      </c>
      <c r="BK68" s="24" t="s">
        <v>733</v>
      </c>
      <c r="BL68" s="25" t="s">
        <v>733</v>
      </c>
      <c r="BM68" s="24" t="s">
        <v>733</v>
      </c>
      <c r="BN68" s="24" t="s">
        <v>732</v>
      </c>
      <c r="BO68" s="24" t="s">
        <v>733</v>
      </c>
      <c r="BP68" s="24" t="s">
        <v>733</v>
      </c>
      <c r="BQ68" s="24" t="s">
        <v>945</v>
      </c>
      <c r="BR68" s="24" t="s">
        <v>945</v>
      </c>
      <c r="BS68" s="25" t="s">
        <v>934</v>
      </c>
      <c r="BT68" s="24" t="s">
        <v>934</v>
      </c>
      <c r="BU68" s="24" t="s">
        <v>934</v>
      </c>
      <c r="BV68" s="24" t="s">
        <v>934</v>
      </c>
      <c r="BW68" s="24" t="s">
        <v>934</v>
      </c>
      <c r="BX68" s="24" t="s">
        <v>934</v>
      </c>
      <c r="BY68" s="25" t="s">
        <v>945</v>
      </c>
      <c r="BZ68" t="s">
        <v>1397</v>
      </c>
      <c r="CB68" t="s">
        <v>1399</v>
      </c>
      <c r="CC68" s="4" t="s">
        <v>1</v>
      </c>
      <c r="CD68" s="4"/>
      <c r="CE68" s="4"/>
      <c r="CF68" t="s">
        <v>1</v>
      </c>
      <c r="CG68" t="s">
        <v>1</v>
      </c>
      <c r="CH68" t="s">
        <v>805</v>
      </c>
      <c r="CI68" s="1">
        <f>AVERAGE(1.7,1.5,1.5)</f>
        <v>1.5666666666666667</v>
      </c>
      <c r="CJ68" s="10" t="s">
        <v>1442</v>
      </c>
      <c r="CK68" s="9" t="s">
        <v>1</v>
      </c>
      <c r="CL68" s="4" t="s">
        <v>1</v>
      </c>
      <c r="CM68" t="s">
        <v>847</v>
      </c>
      <c r="CN68" s="4">
        <f>AVERAGE(104,45,134)</f>
        <v>94.333333333333329</v>
      </c>
      <c r="CO68" s="4"/>
      <c r="CP68" s="4" t="s">
        <v>1</v>
      </c>
      <c r="CQ68" s="4" t="s">
        <v>1</v>
      </c>
      <c r="CR68" s="4" t="s">
        <v>1</v>
      </c>
      <c r="CS68" s="4" t="s">
        <v>1</v>
      </c>
      <c r="CT68" s="4" t="s">
        <v>1</v>
      </c>
      <c r="CU68" s="4" t="s">
        <v>1</v>
      </c>
      <c r="CV68" t="s">
        <v>858</v>
      </c>
      <c r="CW68">
        <v>100</v>
      </c>
      <c r="CX68">
        <v>0</v>
      </c>
      <c r="CY68">
        <v>30</v>
      </c>
      <c r="CZ68" s="26" t="s">
        <v>1358</v>
      </c>
      <c r="DA68" t="s">
        <v>734</v>
      </c>
      <c r="DB68">
        <v>14</v>
      </c>
      <c r="DC68">
        <v>0</v>
      </c>
      <c r="DD68">
        <v>30</v>
      </c>
      <c r="DE68" s="26" t="s">
        <v>1358</v>
      </c>
      <c r="DF68" t="s">
        <v>735</v>
      </c>
      <c r="DG68">
        <v>48</v>
      </c>
      <c r="DH68">
        <v>0</v>
      </c>
      <c r="DI68">
        <v>30</v>
      </c>
      <c r="DJ68" s="26" t="s">
        <v>1358</v>
      </c>
      <c r="DK68" t="s">
        <v>736</v>
      </c>
      <c r="DL68">
        <v>38</v>
      </c>
      <c r="DM68">
        <v>0</v>
      </c>
      <c r="DN68">
        <v>30</v>
      </c>
      <c r="DO68" s="26" t="s">
        <v>1358</v>
      </c>
      <c r="DP68" t="s">
        <v>6</v>
      </c>
      <c r="DQ68" t="s">
        <v>813</v>
      </c>
      <c r="DR68">
        <v>7.8</v>
      </c>
      <c r="DS68">
        <v>0</v>
      </c>
      <c r="DT68">
        <v>30</v>
      </c>
      <c r="DU68" s="26" t="s">
        <v>1358</v>
      </c>
      <c r="EA68" t="s">
        <v>982</v>
      </c>
      <c r="EB68">
        <v>14.5</v>
      </c>
      <c r="EC68">
        <v>0</v>
      </c>
      <c r="ED68">
        <v>30</v>
      </c>
      <c r="EE68" s="26" t="s">
        <v>1358</v>
      </c>
      <c r="EF68" s="26"/>
      <c r="FZ68" t="s">
        <v>806</v>
      </c>
      <c r="GA68">
        <v>506</v>
      </c>
      <c r="GE68" s="26" t="s">
        <v>1358</v>
      </c>
      <c r="HA68" s="5" t="s">
        <v>1</v>
      </c>
      <c r="HB68" s="4" t="s">
        <v>1</v>
      </c>
      <c r="HC68" t="s">
        <v>1</v>
      </c>
      <c r="HD68" t="s">
        <v>1</v>
      </c>
      <c r="HE68" t="s">
        <v>1</v>
      </c>
      <c r="HF68" s="5" t="s">
        <v>1063</v>
      </c>
      <c r="HG68" s="4">
        <v>1.6</v>
      </c>
      <c r="HH68">
        <v>0</v>
      </c>
      <c r="HI68">
        <v>30</v>
      </c>
      <c r="HJ68" s="26" t="s">
        <v>1358</v>
      </c>
      <c r="HK68" t="s">
        <v>815</v>
      </c>
      <c r="HL68">
        <v>1.415</v>
      </c>
      <c r="HM68">
        <v>0</v>
      </c>
      <c r="HN68">
        <v>30</v>
      </c>
      <c r="HO68" t="s">
        <v>817</v>
      </c>
      <c r="HP68" s="26" t="s">
        <v>1358</v>
      </c>
      <c r="HZ68" t="s">
        <v>1</v>
      </c>
      <c r="IA68" t="s">
        <v>1</v>
      </c>
      <c r="IB68" s="10" t="s">
        <v>1</v>
      </c>
      <c r="IC68" s="10"/>
      <c r="ID68" s="10"/>
      <c r="IE68" s="10" t="s">
        <v>1</v>
      </c>
      <c r="IF68" s="10" t="s">
        <v>1</v>
      </c>
      <c r="IG68" s="10"/>
      <c r="IH68" s="10"/>
      <c r="II68" s="10"/>
      <c r="IJ68" s="10"/>
      <c r="IK68" s="10"/>
      <c r="IL68" s="10"/>
      <c r="IM68" s="10"/>
      <c r="IN68" s="10"/>
      <c r="IO68" s="10"/>
      <c r="IP68" s="10"/>
      <c r="IQ68" s="10"/>
      <c r="IR68" s="10"/>
      <c r="IS68" t="s">
        <v>1</v>
      </c>
      <c r="IT68" t="s">
        <v>1</v>
      </c>
      <c r="IW68" t="s">
        <v>1</v>
      </c>
      <c r="IX68" t="s">
        <v>1</v>
      </c>
      <c r="IY68" t="s">
        <v>1</v>
      </c>
      <c r="IZ68" t="s">
        <v>1</v>
      </c>
      <c r="JA68" t="s">
        <v>1</v>
      </c>
      <c r="JB68" s="3" t="s">
        <v>1</v>
      </c>
      <c r="JC68" t="s">
        <v>1</v>
      </c>
      <c r="JD68" s="4" t="s">
        <v>1</v>
      </c>
      <c r="JE68" t="s">
        <v>810</v>
      </c>
      <c r="JF68">
        <v>100</v>
      </c>
      <c r="JR68" t="s">
        <v>1066</v>
      </c>
      <c r="JS68">
        <v>130</v>
      </c>
      <c r="JU68" t="s">
        <v>1</v>
      </c>
      <c r="JW68" t="s">
        <v>1</v>
      </c>
      <c r="JX68">
        <v>0</v>
      </c>
      <c r="JY68">
        <v>100</v>
      </c>
      <c r="JZ68" t="s">
        <v>800</v>
      </c>
      <c r="KA68" t="s">
        <v>72</v>
      </c>
      <c r="KB68" t="s">
        <v>738</v>
      </c>
      <c r="KC68" t="s">
        <v>1</v>
      </c>
      <c r="KD68" t="s">
        <v>1</v>
      </c>
      <c r="KE68" t="s">
        <v>1</v>
      </c>
      <c r="KF68" t="s">
        <v>1</v>
      </c>
      <c r="KG68" t="s">
        <v>1</v>
      </c>
      <c r="KH68" t="s">
        <v>1</v>
      </c>
      <c r="KI68" t="s">
        <v>1</v>
      </c>
      <c r="KJ68" t="s">
        <v>1</v>
      </c>
      <c r="KK68" t="s">
        <v>1</v>
      </c>
    </row>
    <row r="69" spans="1:297" x14ac:dyDescent="0.2">
      <c r="A69">
        <v>68</v>
      </c>
      <c r="B69" t="s">
        <v>705</v>
      </c>
      <c r="C69" t="s">
        <v>1299</v>
      </c>
      <c r="D69" t="s">
        <v>73</v>
      </c>
      <c r="E69">
        <v>7</v>
      </c>
      <c r="F69" t="s">
        <v>1298</v>
      </c>
      <c r="G69" t="s">
        <v>1</v>
      </c>
      <c r="H69" s="26" t="s">
        <v>1420</v>
      </c>
      <c r="I69" t="s">
        <v>1</v>
      </c>
      <c r="J69" t="s">
        <v>1</v>
      </c>
      <c r="K69" t="s">
        <v>1</v>
      </c>
      <c r="L69" t="s">
        <v>1</v>
      </c>
      <c r="M69" t="s">
        <v>1</v>
      </c>
      <c r="N69" t="s">
        <v>1</v>
      </c>
      <c r="O69" t="s">
        <v>1</v>
      </c>
      <c r="P69" t="s">
        <v>1</v>
      </c>
      <c r="Q69" t="s">
        <v>1</v>
      </c>
      <c r="R69" t="s">
        <v>1</v>
      </c>
      <c r="S69" t="s">
        <v>1</v>
      </c>
      <c r="T69" t="s">
        <v>1</v>
      </c>
      <c r="U69" t="s">
        <v>1</v>
      </c>
      <c r="V69" t="s">
        <v>1</v>
      </c>
      <c r="W69" t="s">
        <v>1</v>
      </c>
      <c r="X69" t="s">
        <v>1</v>
      </c>
      <c r="Y69" t="s">
        <v>1</v>
      </c>
      <c r="Z69" t="s">
        <v>1</v>
      </c>
      <c r="AA69" t="s">
        <v>1</v>
      </c>
      <c r="AB69" t="s">
        <v>1</v>
      </c>
      <c r="AC69" t="s">
        <v>1</v>
      </c>
      <c r="AD69" t="s">
        <v>1</v>
      </c>
      <c r="AE69" t="s">
        <v>1</v>
      </c>
      <c r="AF69" t="s">
        <v>1</v>
      </c>
      <c r="AG69" t="s">
        <v>1</v>
      </c>
      <c r="AH69" t="s">
        <v>1</v>
      </c>
      <c r="AI69" t="s">
        <v>1</v>
      </c>
      <c r="AJ69" t="s">
        <v>1</v>
      </c>
      <c r="AK69" t="s">
        <v>1</v>
      </c>
      <c r="AL69" t="s">
        <v>1</v>
      </c>
      <c r="AM69" t="s">
        <v>1</v>
      </c>
      <c r="AN69">
        <v>68</v>
      </c>
      <c r="AO69">
        <f t="shared" si="7"/>
        <v>68</v>
      </c>
      <c r="AP69">
        <f t="shared" si="5"/>
        <v>7</v>
      </c>
      <c r="AQ69">
        <f t="shared" si="6"/>
        <v>7</v>
      </c>
      <c r="AR69" s="26" t="s">
        <v>1355</v>
      </c>
      <c r="AS69" s="26" t="s">
        <v>1356</v>
      </c>
      <c r="AT69" t="s">
        <v>711</v>
      </c>
      <c r="AU69" t="s">
        <v>1</v>
      </c>
      <c r="AV69" t="s">
        <v>1</v>
      </c>
      <c r="AW69">
        <v>42.8</v>
      </c>
      <c r="AX69">
        <v>-1.6</v>
      </c>
      <c r="AY69" t="s">
        <v>737</v>
      </c>
      <c r="BA69" s="3">
        <v>4</v>
      </c>
      <c r="BB69" s="3"/>
      <c r="BC69" s="3"/>
      <c r="BD69" s="3"/>
      <c r="BE69" s="3"/>
      <c r="BF69">
        <v>2005</v>
      </c>
      <c r="BG69" s="24" t="s">
        <v>733</v>
      </c>
      <c r="BH69" s="24" t="s">
        <v>733</v>
      </c>
      <c r="BI69" s="24" t="s">
        <v>733</v>
      </c>
      <c r="BJ69" s="24" t="s">
        <v>732</v>
      </c>
      <c r="BK69" s="24" t="s">
        <v>733</v>
      </c>
      <c r="BL69" s="25" t="s">
        <v>733</v>
      </c>
      <c r="BM69" s="24" t="s">
        <v>733</v>
      </c>
      <c r="BN69" s="24" t="s">
        <v>732</v>
      </c>
      <c r="BO69" s="24" t="s">
        <v>733</v>
      </c>
      <c r="BP69" s="24" t="s">
        <v>733</v>
      </c>
      <c r="BQ69" s="24" t="s">
        <v>945</v>
      </c>
      <c r="BR69" s="24" t="s">
        <v>945</v>
      </c>
      <c r="BS69" s="25" t="s">
        <v>934</v>
      </c>
      <c r="BT69" s="24" t="s">
        <v>934</v>
      </c>
      <c r="BU69" s="24" t="s">
        <v>934</v>
      </c>
      <c r="BV69" s="24" t="s">
        <v>934</v>
      </c>
      <c r="BW69" s="24" t="s">
        <v>934</v>
      </c>
      <c r="BX69" s="24" t="s">
        <v>934</v>
      </c>
      <c r="BY69" s="25" t="s">
        <v>945</v>
      </c>
      <c r="BZ69" t="s">
        <v>1397</v>
      </c>
      <c r="CB69" t="s">
        <v>1399</v>
      </c>
      <c r="CC69" s="4" t="s">
        <v>1</v>
      </c>
      <c r="CD69" s="4"/>
      <c r="CE69" s="4"/>
      <c r="CF69" t="s">
        <v>1</v>
      </c>
      <c r="CG69" t="s">
        <v>1</v>
      </c>
      <c r="CH69" t="s">
        <v>805</v>
      </c>
      <c r="CI69" s="1">
        <f>AVERAGE(1.7,1.5,1.5)</f>
        <v>1.5666666666666667</v>
      </c>
      <c r="CJ69" s="10" t="s">
        <v>1442</v>
      </c>
      <c r="CK69" s="9" t="s">
        <v>1</v>
      </c>
      <c r="CL69" s="4" t="s">
        <v>1</v>
      </c>
      <c r="CM69" t="s">
        <v>847</v>
      </c>
      <c r="CN69" s="4">
        <f>AVERAGE(171,81,134)</f>
        <v>128.66666666666666</v>
      </c>
      <c r="CO69" s="4"/>
      <c r="CP69" s="4" t="s">
        <v>1</v>
      </c>
      <c r="CQ69" s="4" t="s">
        <v>1</v>
      </c>
      <c r="CR69" s="4" t="s">
        <v>1</v>
      </c>
      <c r="CS69" s="4" t="s">
        <v>1</v>
      </c>
      <c r="CT69" s="4" t="s">
        <v>1</v>
      </c>
      <c r="CU69" s="4" t="s">
        <v>1</v>
      </c>
      <c r="CV69" t="s">
        <v>858</v>
      </c>
      <c r="CW69">
        <v>100</v>
      </c>
      <c r="CX69">
        <v>0</v>
      </c>
      <c r="CY69">
        <v>30</v>
      </c>
      <c r="CZ69" s="26" t="s">
        <v>1358</v>
      </c>
      <c r="DA69" t="s">
        <v>734</v>
      </c>
      <c r="DB69">
        <v>14</v>
      </c>
      <c r="DC69">
        <v>0</v>
      </c>
      <c r="DD69">
        <v>30</v>
      </c>
      <c r="DE69" s="26" t="s">
        <v>1358</v>
      </c>
      <c r="DF69" t="s">
        <v>735</v>
      </c>
      <c r="DG69">
        <v>48</v>
      </c>
      <c r="DH69">
        <v>0</v>
      </c>
      <c r="DI69">
        <v>30</v>
      </c>
      <c r="DJ69" s="26" t="s">
        <v>1358</v>
      </c>
      <c r="DK69" t="s">
        <v>736</v>
      </c>
      <c r="DL69">
        <v>38</v>
      </c>
      <c r="DM69">
        <v>0</v>
      </c>
      <c r="DN69">
        <v>30</v>
      </c>
      <c r="DO69" s="26" t="s">
        <v>1358</v>
      </c>
      <c r="DP69" t="s">
        <v>6</v>
      </c>
      <c r="DQ69" t="s">
        <v>813</v>
      </c>
      <c r="DR69">
        <v>7.8</v>
      </c>
      <c r="DS69">
        <v>0</v>
      </c>
      <c r="DT69">
        <v>30</v>
      </c>
      <c r="DU69" s="26" t="s">
        <v>1358</v>
      </c>
      <c r="EA69" t="s">
        <v>982</v>
      </c>
      <c r="EB69">
        <v>14.5</v>
      </c>
      <c r="EC69">
        <v>0</v>
      </c>
      <c r="ED69">
        <v>30</v>
      </c>
      <c r="EE69" s="26" t="s">
        <v>1358</v>
      </c>
      <c r="EF69" s="26"/>
      <c r="FZ69" t="s">
        <v>806</v>
      </c>
      <c r="GA69">
        <v>506</v>
      </c>
      <c r="GE69" s="26" t="s">
        <v>1358</v>
      </c>
      <c r="HA69" s="5" t="s">
        <v>1</v>
      </c>
      <c r="HB69" s="4" t="s">
        <v>1</v>
      </c>
      <c r="HC69" t="s">
        <v>1</v>
      </c>
      <c r="HD69" t="s">
        <v>1</v>
      </c>
      <c r="HE69" t="s">
        <v>1</v>
      </c>
      <c r="HF69" s="5" t="s">
        <v>1063</v>
      </c>
      <c r="HG69" s="4">
        <v>1.6</v>
      </c>
      <c r="HH69">
        <v>0</v>
      </c>
      <c r="HI69">
        <v>30</v>
      </c>
      <c r="HJ69" s="26" t="s">
        <v>1358</v>
      </c>
      <c r="HK69" t="s">
        <v>815</v>
      </c>
      <c r="HL69">
        <v>1.415</v>
      </c>
      <c r="HM69">
        <v>0</v>
      </c>
      <c r="HN69">
        <v>30</v>
      </c>
      <c r="HO69" t="s">
        <v>817</v>
      </c>
      <c r="HP69" s="26" t="s">
        <v>1358</v>
      </c>
      <c r="HZ69" t="s">
        <v>967</v>
      </c>
      <c r="IA69">
        <v>122</v>
      </c>
      <c r="IB69" s="10" t="s">
        <v>1</v>
      </c>
      <c r="IC69" s="10"/>
      <c r="ID69" s="10"/>
      <c r="IE69" s="10" t="s">
        <v>1</v>
      </c>
      <c r="IF69" s="10" t="s">
        <v>1</v>
      </c>
      <c r="IG69" s="10"/>
      <c r="IH69" s="10"/>
      <c r="II69" s="10"/>
      <c r="IJ69" s="10"/>
      <c r="IK69" s="10"/>
      <c r="IL69" s="10"/>
      <c r="IM69" s="10"/>
      <c r="IN69" s="10"/>
      <c r="IO69" s="10"/>
      <c r="IP69" s="10"/>
      <c r="IQ69" s="10"/>
      <c r="IR69" s="10"/>
      <c r="IS69" t="s">
        <v>1</v>
      </c>
      <c r="IT69" t="s">
        <v>1</v>
      </c>
      <c r="IW69" t="s">
        <v>1</v>
      </c>
      <c r="IX69" t="s">
        <v>1</v>
      </c>
      <c r="IY69" t="s">
        <v>1</v>
      </c>
      <c r="IZ69" t="s">
        <v>1</v>
      </c>
      <c r="JA69" t="s">
        <v>1</v>
      </c>
      <c r="JB69" s="3" t="s">
        <v>1</v>
      </c>
      <c r="JC69" t="s">
        <v>1</v>
      </c>
      <c r="JD69" s="4" t="s">
        <v>1</v>
      </c>
      <c r="JE69" t="s">
        <v>810</v>
      </c>
      <c r="JF69">
        <v>100</v>
      </c>
      <c r="JR69" t="s">
        <v>1066</v>
      </c>
      <c r="JS69">
        <v>159.9</v>
      </c>
      <c r="JU69" t="s">
        <v>1</v>
      </c>
      <c r="JW69" t="s">
        <v>1</v>
      </c>
      <c r="JX69">
        <v>0</v>
      </c>
      <c r="JY69">
        <v>100</v>
      </c>
      <c r="JZ69" t="s">
        <v>800</v>
      </c>
      <c r="KA69" t="s">
        <v>72</v>
      </c>
      <c r="KB69" t="s">
        <v>738</v>
      </c>
      <c r="KC69" t="s">
        <v>1</v>
      </c>
      <c r="KD69" t="s">
        <v>1</v>
      </c>
      <c r="KE69" t="s">
        <v>1</v>
      </c>
      <c r="KF69" t="s">
        <v>1</v>
      </c>
      <c r="KG69" t="s">
        <v>1</v>
      </c>
      <c r="KH69" t="s">
        <v>1</v>
      </c>
      <c r="KI69" t="s">
        <v>1</v>
      </c>
      <c r="KJ69" t="s">
        <v>1</v>
      </c>
      <c r="KK69" t="s">
        <v>1</v>
      </c>
    </row>
    <row r="70" spans="1:297" x14ac:dyDescent="0.2">
      <c r="A70">
        <v>69</v>
      </c>
      <c r="B70" t="s">
        <v>705</v>
      </c>
      <c r="C70" t="s">
        <v>75</v>
      </c>
      <c r="D70" t="s">
        <v>73</v>
      </c>
      <c r="E70">
        <v>7</v>
      </c>
      <c r="F70" t="s">
        <v>1298</v>
      </c>
      <c r="G70" t="s">
        <v>1</v>
      </c>
      <c r="H70" s="26" t="s">
        <v>1420</v>
      </c>
      <c r="I70" t="s">
        <v>1</v>
      </c>
      <c r="J70" t="s">
        <v>1</v>
      </c>
      <c r="K70" t="s">
        <v>1</v>
      </c>
      <c r="L70" t="s">
        <v>1</v>
      </c>
      <c r="M70" t="s">
        <v>1</v>
      </c>
      <c r="N70" t="s">
        <v>1</v>
      </c>
      <c r="O70" t="s">
        <v>1</v>
      </c>
      <c r="P70" t="s">
        <v>1</v>
      </c>
      <c r="Q70" t="s">
        <v>1</v>
      </c>
      <c r="R70" t="s">
        <v>1</v>
      </c>
      <c r="S70" t="s">
        <v>1</v>
      </c>
      <c r="T70" t="s">
        <v>1</v>
      </c>
      <c r="U70" t="s">
        <v>1</v>
      </c>
      <c r="V70" t="s">
        <v>1</v>
      </c>
      <c r="W70" t="s">
        <v>1</v>
      </c>
      <c r="X70" t="s">
        <v>1</v>
      </c>
      <c r="Y70" t="s">
        <v>1</v>
      </c>
      <c r="Z70" t="s">
        <v>1</v>
      </c>
      <c r="AA70" t="s">
        <v>1</v>
      </c>
      <c r="AB70" t="s">
        <v>1</v>
      </c>
      <c r="AC70" t="s">
        <v>1</v>
      </c>
      <c r="AD70" t="s">
        <v>1</v>
      </c>
      <c r="AE70" t="s">
        <v>1</v>
      </c>
      <c r="AF70" t="s">
        <v>1</v>
      </c>
      <c r="AG70" t="s">
        <v>1</v>
      </c>
      <c r="AH70" t="s">
        <v>1</v>
      </c>
      <c r="AI70" t="s">
        <v>1</v>
      </c>
      <c r="AJ70" t="s">
        <v>1</v>
      </c>
      <c r="AK70" t="s">
        <v>1</v>
      </c>
      <c r="AL70" t="s">
        <v>1</v>
      </c>
      <c r="AM70" t="s">
        <v>1</v>
      </c>
      <c r="AN70">
        <v>69</v>
      </c>
      <c r="AO70">
        <f t="shared" si="7"/>
        <v>69</v>
      </c>
      <c r="AP70">
        <f t="shared" si="5"/>
        <v>7</v>
      </c>
      <c r="AQ70">
        <f t="shared" si="6"/>
        <v>7</v>
      </c>
      <c r="AR70" s="26" t="s">
        <v>1355</v>
      </c>
      <c r="AS70" s="26" t="s">
        <v>1356</v>
      </c>
      <c r="AT70" t="s">
        <v>711</v>
      </c>
      <c r="AU70" t="s">
        <v>1</v>
      </c>
      <c r="AV70" t="s">
        <v>1</v>
      </c>
      <c r="AW70">
        <v>42.8</v>
      </c>
      <c r="AX70">
        <v>-1.6</v>
      </c>
      <c r="AY70" t="s">
        <v>737</v>
      </c>
      <c r="BA70" s="3">
        <v>4</v>
      </c>
      <c r="BB70" s="3"/>
      <c r="BC70" s="3"/>
      <c r="BD70" s="3"/>
      <c r="BE70" s="3"/>
      <c r="BF70">
        <v>2005</v>
      </c>
      <c r="BG70" s="24" t="s">
        <v>733</v>
      </c>
      <c r="BH70" s="24" t="s">
        <v>733</v>
      </c>
      <c r="BI70" s="24" t="s">
        <v>733</v>
      </c>
      <c r="BJ70" s="24" t="s">
        <v>732</v>
      </c>
      <c r="BK70" s="24" t="s">
        <v>733</v>
      </c>
      <c r="BL70" s="25" t="s">
        <v>733</v>
      </c>
      <c r="BM70" s="24" t="s">
        <v>733</v>
      </c>
      <c r="BN70" s="24" t="s">
        <v>732</v>
      </c>
      <c r="BO70" s="24" t="s">
        <v>733</v>
      </c>
      <c r="BP70" s="24" t="s">
        <v>733</v>
      </c>
      <c r="BQ70" s="24" t="s">
        <v>945</v>
      </c>
      <c r="BR70" s="24" t="s">
        <v>945</v>
      </c>
      <c r="BS70" s="25" t="s">
        <v>934</v>
      </c>
      <c r="BT70" s="24" t="s">
        <v>934</v>
      </c>
      <c r="BU70" s="24" t="s">
        <v>934</v>
      </c>
      <c r="BV70" s="24" t="s">
        <v>934</v>
      </c>
      <c r="BW70" s="24" t="s">
        <v>934</v>
      </c>
      <c r="BX70" s="24" t="s">
        <v>934</v>
      </c>
      <c r="BY70" s="25" t="s">
        <v>945</v>
      </c>
      <c r="BZ70" t="s">
        <v>1397</v>
      </c>
      <c r="CB70" t="s">
        <v>1399</v>
      </c>
      <c r="CC70" s="4" t="s">
        <v>1</v>
      </c>
      <c r="CD70" s="4"/>
      <c r="CE70" s="4"/>
      <c r="CF70" t="s">
        <v>1</v>
      </c>
      <c r="CG70" t="s">
        <v>1</v>
      </c>
      <c r="CH70" t="s">
        <v>805</v>
      </c>
      <c r="CI70" s="1">
        <f>AVERAGE(1.7,1.5,1.5)</f>
        <v>1.5666666666666667</v>
      </c>
      <c r="CJ70" s="10" t="s">
        <v>1442</v>
      </c>
      <c r="CK70" s="9" t="s">
        <v>1</v>
      </c>
      <c r="CL70" s="4" t="s">
        <v>1</v>
      </c>
      <c r="CM70" t="s">
        <v>847</v>
      </c>
      <c r="CN70" s="4">
        <f>AVERAGE(162,84,124)</f>
        <v>123.33333333333333</v>
      </c>
      <c r="CO70" s="4"/>
      <c r="CP70" s="4" t="s">
        <v>1</v>
      </c>
      <c r="CQ70" s="4" t="s">
        <v>1</v>
      </c>
      <c r="CR70" s="4" t="s">
        <v>1</v>
      </c>
      <c r="CS70" s="4" t="s">
        <v>1</v>
      </c>
      <c r="CT70" s="4" t="s">
        <v>1</v>
      </c>
      <c r="CU70" s="4" t="s">
        <v>1</v>
      </c>
      <c r="CV70" t="s">
        <v>858</v>
      </c>
      <c r="CW70">
        <v>100</v>
      </c>
      <c r="CX70">
        <v>0</v>
      </c>
      <c r="CY70">
        <v>30</v>
      </c>
      <c r="CZ70" s="26" t="s">
        <v>1358</v>
      </c>
      <c r="DA70" t="s">
        <v>734</v>
      </c>
      <c r="DB70">
        <v>14</v>
      </c>
      <c r="DC70">
        <v>0</v>
      </c>
      <c r="DD70">
        <v>30</v>
      </c>
      <c r="DE70" s="26" t="s">
        <v>1358</v>
      </c>
      <c r="DF70" t="s">
        <v>735</v>
      </c>
      <c r="DG70">
        <v>48</v>
      </c>
      <c r="DH70">
        <v>0</v>
      </c>
      <c r="DI70">
        <v>30</v>
      </c>
      <c r="DJ70" s="26" t="s">
        <v>1358</v>
      </c>
      <c r="DK70" t="s">
        <v>736</v>
      </c>
      <c r="DL70">
        <v>38</v>
      </c>
      <c r="DM70">
        <v>0</v>
      </c>
      <c r="DN70">
        <v>30</v>
      </c>
      <c r="DO70" s="26" t="s">
        <v>1358</v>
      </c>
      <c r="DP70" t="s">
        <v>6</v>
      </c>
      <c r="DQ70" t="s">
        <v>813</v>
      </c>
      <c r="DR70">
        <v>7.8</v>
      </c>
      <c r="DS70">
        <v>0</v>
      </c>
      <c r="DT70">
        <v>30</v>
      </c>
      <c r="DU70" s="26" t="s">
        <v>1358</v>
      </c>
      <c r="EA70" t="s">
        <v>982</v>
      </c>
      <c r="EB70">
        <v>14.5</v>
      </c>
      <c r="EC70">
        <v>0</v>
      </c>
      <c r="ED70">
        <v>30</v>
      </c>
      <c r="EE70" s="26" t="s">
        <v>1358</v>
      </c>
      <c r="EF70" s="26"/>
      <c r="FZ70" t="s">
        <v>806</v>
      </c>
      <c r="GA70">
        <v>506</v>
      </c>
      <c r="GE70" s="26" t="s">
        <v>1358</v>
      </c>
      <c r="HA70" s="5" t="s">
        <v>1</v>
      </c>
      <c r="HB70" s="4" t="s">
        <v>1</v>
      </c>
      <c r="HC70" t="s">
        <v>1</v>
      </c>
      <c r="HD70" t="s">
        <v>1</v>
      </c>
      <c r="HE70" t="s">
        <v>1</v>
      </c>
      <c r="HF70" s="5" t="s">
        <v>1063</v>
      </c>
      <c r="HG70" s="4">
        <v>1.6</v>
      </c>
      <c r="HH70">
        <v>0</v>
      </c>
      <c r="HI70">
        <v>30</v>
      </c>
      <c r="HJ70" s="26" t="s">
        <v>1358</v>
      </c>
      <c r="HK70" t="s">
        <v>815</v>
      </c>
      <c r="HL70">
        <v>1.415</v>
      </c>
      <c r="HM70">
        <v>0</v>
      </c>
      <c r="HN70">
        <v>30</v>
      </c>
      <c r="HO70" t="s">
        <v>817</v>
      </c>
      <c r="HP70" s="26" t="s">
        <v>1358</v>
      </c>
      <c r="HZ70" t="s">
        <v>967</v>
      </c>
      <c r="IA70">
        <v>122</v>
      </c>
      <c r="IB70" s="10" t="s">
        <v>1</v>
      </c>
      <c r="IC70" s="10"/>
      <c r="ID70" s="10"/>
      <c r="IE70" s="10" t="s">
        <v>1</v>
      </c>
      <c r="IF70" s="10" t="s">
        <v>1</v>
      </c>
      <c r="IG70" s="10"/>
      <c r="IH70" s="10"/>
      <c r="II70" s="10"/>
      <c r="IJ70" s="10"/>
      <c r="IK70" s="10"/>
      <c r="IL70" s="10"/>
      <c r="IM70" s="10"/>
      <c r="IN70" s="10"/>
      <c r="IO70" s="10"/>
      <c r="IP70" s="10"/>
      <c r="IQ70" s="10"/>
      <c r="IR70" s="10"/>
      <c r="IS70" t="s">
        <v>1</v>
      </c>
      <c r="IT70" t="s">
        <v>1</v>
      </c>
      <c r="IW70" t="s">
        <v>1</v>
      </c>
      <c r="IX70" t="s">
        <v>1</v>
      </c>
      <c r="IY70" t="s">
        <v>1</v>
      </c>
      <c r="IZ70" t="s">
        <v>1</v>
      </c>
      <c r="JA70" t="s">
        <v>1</v>
      </c>
      <c r="JB70" s="3" t="s">
        <v>1</v>
      </c>
      <c r="JC70" t="s">
        <v>1</v>
      </c>
      <c r="JD70" s="4" t="s">
        <v>1</v>
      </c>
      <c r="JE70" t="s">
        <v>810</v>
      </c>
      <c r="JF70">
        <v>100</v>
      </c>
      <c r="JR70" t="s">
        <v>1066</v>
      </c>
      <c r="JS70">
        <v>141.1</v>
      </c>
      <c r="JU70" t="s">
        <v>1</v>
      </c>
      <c r="JW70" t="s">
        <v>1</v>
      </c>
      <c r="JX70">
        <v>0</v>
      </c>
      <c r="JY70">
        <v>100</v>
      </c>
      <c r="JZ70" t="s">
        <v>800</v>
      </c>
      <c r="KA70" t="s">
        <v>72</v>
      </c>
      <c r="KB70" t="s">
        <v>738</v>
      </c>
      <c r="KC70" t="s">
        <v>1</v>
      </c>
      <c r="KD70" t="s">
        <v>1</v>
      </c>
      <c r="KE70" t="s">
        <v>1</v>
      </c>
      <c r="KF70" t="s">
        <v>1</v>
      </c>
      <c r="KG70" t="s">
        <v>1</v>
      </c>
      <c r="KH70" t="s">
        <v>1</v>
      </c>
      <c r="KI70" t="s">
        <v>1</v>
      </c>
      <c r="KJ70" t="s">
        <v>1</v>
      </c>
      <c r="KK70" t="s">
        <v>1</v>
      </c>
    </row>
    <row r="71" spans="1:297" x14ac:dyDescent="0.2">
      <c r="A71">
        <v>70</v>
      </c>
      <c r="B71" t="s">
        <v>705</v>
      </c>
      <c r="C71" t="s">
        <v>76</v>
      </c>
      <c r="D71" t="s">
        <v>73</v>
      </c>
      <c r="E71">
        <v>7</v>
      </c>
      <c r="F71" t="s">
        <v>1298</v>
      </c>
      <c r="G71" t="s">
        <v>1</v>
      </c>
      <c r="H71" s="26" t="s">
        <v>1420</v>
      </c>
      <c r="I71" t="s">
        <v>1</v>
      </c>
      <c r="J71" t="s">
        <v>1</v>
      </c>
      <c r="K71" t="s">
        <v>1</v>
      </c>
      <c r="L71" t="s">
        <v>1</v>
      </c>
      <c r="M71" t="s">
        <v>1</v>
      </c>
      <c r="N71" t="s">
        <v>1</v>
      </c>
      <c r="O71" t="s">
        <v>1</v>
      </c>
      <c r="P71" t="s">
        <v>1</v>
      </c>
      <c r="Q71" t="s">
        <v>1</v>
      </c>
      <c r="R71" t="s">
        <v>1</v>
      </c>
      <c r="S71" t="s">
        <v>1</v>
      </c>
      <c r="T71" t="s">
        <v>1</v>
      </c>
      <c r="U71" t="s">
        <v>1</v>
      </c>
      <c r="V71" t="s">
        <v>1</v>
      </c>
      <c r="W71" t="s">
        <v>1</v>
      </c>
      <c r="X71" t="s">
        <v>1</v>
      </c>
      <c r="Y71" t="s">
        <v>1</v>
      </c>
      <c r="Z71" t="s">
        <v>1</v>
      </c>
      <c r="AA71" t="s">
        <v>1</v>
      </c>
      <c r="AB71" t="s">
        <v>1</v>
      </c>
      <c r="AC71" t="s">
        <v>1</v>
      </c>
      <c r="AD71" t="s">
        <v>1</v>
      </c>
      <c r="AE71" t="s">
        <v>1</v>
      </c>
      <c r="AF71" t="s">
        <v>1</v>
      </c>
      <c r="AG71" t="s">
        <v>1</v>
      </c>
      <c r="AH71" t="s">
        <v>1</v>
      </c>
      <c r="AI71" t="s">
        <v>1</v>
      </c>
      <c r="AJ71" t="s">
        <v>1</v>
      </c>
      <c r="AK71" t="s">
        <v>1</v>
      </c>
      <c r="AL71" t="s">
        <v>1</v>
      </c>
      <c r="AM71" t="s">
        <v>1</v>
      </c>
      <c r="AN71">
        <v>70</v>
      </c>
      <c r="AO71">
        <f t="shared" si="7"/>
        <v>70</v>
      </c>
      <c r="AP71">
        <f t="shared" si="5"/>
        <v>7</v>
      </c>
      <c r="AQ71">
        <f t="shared" si="6"/>
        <v>7</v>
      </c>
      <c r="AR71" s="26" t="s">
        <v>1355</v>
      </c>
      <c r="AS71" s="26" t="s">
        <v>1356</v>
      </c>
      <c r="AT71" t="s">
        <v>711</v>
      </c>
      <c r="AU71" t="s">
        <v>1</v>
      </c>
      <c r="AV71" t="s">
        <v>1</v>
      </c>
      <c r="AW71">
        <v>42.8</v>
      </c>
      <c r="AX71">
        <v>-1.6</v>
      </c>
      <c r="AY71" t="s">
        <v>737</v>
      </c>
      <c r="BA71" s="3">
        <v>4</v>
      </c>
      <c r="BB71" s="3"/>
      <c r="BC71" s="3"/>
      <c r="BD71" s="3"/>
      <c r="BE71" s="3"/>
      <c r="BF71">
        <v>2005</v>
      </c>
      <c r="BG71" s="24" t="s">
        <v>733</v>
      </c>
      <c r="BH71" s="24" t="s">
        <v>733</v>
      </c>
      <c r="BI71" s="24" t="s">
        <v>733</v>
      </c>
      <c r="BJ71" s="24" t="s">
        <v>732</v>
      </c>
      <c r="BK71" s="24" t="s">
        <v>733</v>
      </c>
      <c r="BL71" s="25" t="s">
        <v>733</v>
      </c>
      <c r="BM71" s="24" t="s">
        <v>733</v>
      </c>
      <c r="BN71" s="24" t="s">
        <v>732</v>
      </c>
      <c r="BO71" s="24" t="s">
        <v>733</v>
      </c>
      <c r="BP71" s="24" t="s">
        <v>733</v>
      </c>
      <c r="BQ71" s="24" t="s">
        <v>945</v>
      </c>
      <c r="BR71" s="24" t="s">
        <v>945</v>
      </c>
      <c r="BS71" s="25" t="s">
        <v>934</v>
      </c>
      <c r="BT71" s="24" t="s">
        <v>934</v>
      </c>
      <c r="BU71" s="24" t="s">
        <v>934</v>
      </c>
      <c r="BV71" s="24" t="s">
        <v>934</v>
      </c>
      <c r="BW71" s="24" t="s">
        <v>934</v>
      </c>
      <c r="BX71" s="24" t="s">
        <v>934</v>
      </c>
      <c r="BY71" s="25" t="s">
        <v>945</v>
      </c>
      <c r="BZ71" t="s">
        <v>1397</v>
      </c>
      <c r="CB71" t="s">
        <v>1399</v>
      </c>
      <c r="CC71" s="4" t="s">
        <v>1</v>
      </c>
      <c r="CD71" s="4"/>
      <c r="CE71" s="4"/>
      <c r="CF71" t="s">
        <v>1</v>
      </c>
      <c r="CG71" t="s">
        <v>1</v>
      </c>
      <c r="CH71" t="s">
        <v>805</v>
      </c>
      <c r="CI71" s="1">
        <f>AVERAGE(1.7,1.5,1.5)</f>
        <v>1.5666666666666667</v>
      </c>
      <c r="CJ71" s="10" t="s">
        <v>1442</v>
      </c>
      <c r="CK71" s="9" t="s">
        <v>1</v>
      </c>
      <c r="CL71" s="4" t="s">
        <v>1</v>
      </c>
      <c r="CM71" t="s">
        <v>847</v>
      </c>
      <c r="CN71" s="4">
        <f>AVERAGE(172,78,134)</f>
        <v>128</v>
      </c>
      <c r="CO71" s="4"/>
      <c r="CP71" s="4" t="s">
        <v>1</v>
      </c>
      <c r="CQ71" s="4" t="s">
        <v>1</v>
      </c>
      <c r="CR71" s="4" t="s">
        <v>1</v>
      </c>
      <c r="CS71" s="4" t="s">
        <v>1</v>
      </c>
      <c r="CT71" s="4" t="s">
        <v>1</v>
      </c>
      <c r="CU71" s="4" t="s">
        <v>1</v>
      </c>
      <c r="CV71" t="s">
        <v>858</v>
      </c>
      <c r="CW71">
        <v>100</v>
      </c>
      <c r="CX71">
        <v>0</v>
      </c>
      <c r="CY71">
        <v>30</v>
      </c>
      <c r="CZ71" s="26" t="s">
        <v>1358</v>
      </c>
      <c r="DA71" t="s">
        <v>734</v>
      </c>
      <c r="DB71">
        <v>14</v>
      </c>
      <c r="DC71">
        <v>0</v>
      </c>
      <c r="DD71">
        <v>30</v>
      </c>
      <c r="DE71" s="26" t="s">
        <v>1358</v>
      </c>
      <c r="DF71" t="s">
        <v>735</v>
      </c>
      <c r="DG71">
        <v>48</v>
      </c>
      <c r="DH71">
        <v>0</v>
      </c>
      <c r="DI71">
        <v>30</v>
      </c>
      <c r="DJ71" s="26" t="s">
        <v>1358</v>
      </c>
      <c r="DK71" t="s">
        <v>736</v>
      </c>
      <c r="DL71">
        <v>38</v>
      </c>
      <c r="DM71">
        <v>0</v>
      </c>
      <c r="DN71">
        <v>30</v>
      </c>
      <c r="DO71" s="26" t="s">
        <v>1358</v>
      </c>
      <c r="DP71" t="s">
        <v>6</v>
      </c>
      <c r="DQ71" t="s">
        <v>813</v>
      </c>
      <c r="DR71">
        <v>7.8</v>
      </c>
      <c r="DS71">
        <v>0</v>
      </c>
      <c r="DT71">
        <v>30</v>
      </c>
      <c r="DU71" s="26" t="s">
        <v>1358</v>
      </c>
      <c r="EA71" t="s">
        <v>982</v>
      </c>
      <c r="EB71">
        <v>14.5</v>
      </c>
      <c r="EC71">
        <v>0</v>
      </c>
      <c r="ED71">
        <v>30</v>
      </c>
      <c r="EE71" s="26" t="s">
        <v>1358</v>
      </c>
      <c r="EF71" s="26"/>
      <c r="FZ71" t="s">
        <v>806</v>
      </c>
      <c r="GA71">
        <v>506</v>
      </c>
      <c r="GE71" s="26" t="s">
        <v>1358</v>
      </c>
      <c r="HA71" s="5" t="s">
        <v>1</v>
      </c>
      <c r="HB71" s="4" t="s">
        <v>1</v>
      </c>
      <c r="HC71" t="s">
        <v>1</v>
      </c>
      <c r="HD71" t="s">
        <v>1</v>
      </c>
      <c r="HE71" t="s">
        <v>1</v>
      </c>
      <c r="HF71" s="5" t="s">
        <v>1063</v>
      </c>
      <c r="HG71" s="4">
        <v>1.6</v>
      </c>
      <c r="HH71">
        <v>0</v>
      </c>
      <c r="HI71">
        <v>30</v>
      </c>
      <c r="HJ71" s="26" t="s">
        <v>1358</v>
      </c>
      <c r="HK71" t="s">
        <v>815</v>
      </c>
      <c r="HL71">
        <v>1.415</v>
      </c>
      <c r="HM71">
        <v>0</v>
      </c>
      <c r="HN71">
        <v>30</v>
      </c>
      <c r="HO71" t="s">
        <v>817</v>
      </c>
      <c r="HP71" s="26" t="s">
        <v>1358</v>
      </c>
      <c r="HZ71" t="s">
        <v>967</v>
      </c>
      <c r="IA71">
        <v>122</v>
      </c>
      <c r="IB71" s="10" t="s">
        <v>1</v>
      </c>
      <c r="IC71" s="10"/>
      <c r="ID71" s="10"/>
      <c r="IE71" s="10" t="s">
        <v>843</v>
      </c>
      <c r="IF71" s="10" t="b">
        <v>1</v>
      </c>
      <c r="IG71" s="10"/>
      <c r="IH71" s="10"/>
      <c r="II71" s="10"/>
      <c r="IJ71" s="10"/>
      <c r="IK71" s="10"/>
      <c r="IL71" s="10"/>
      <c r="IM71" s="10"/>
      <c r="IN71" s="10"/>
      <c r="IO71" s="10"/>
      <c r="IP71" s="10"/>
      <c r="IQ71" s="10"/>
      <c r="IR71" s="10"/>
      <c r="IS71" t="s">
        <v>1</v>
      </c>
      <c r="IT71" t="s">
        <v>1</v>
      </c>
      <c r="IW71" t="s">
        <v>1</v>
      </c>
      <c r="IX71" t="s">
        <v>1</v>
      </c>
      <c r="IY71" t="s">
        <v>1</v>
      </c>
      <c r="IZ71" t="s">
        <v>1</v>
      </c>
      <c r="JA71" t="s">
        <v>1</v>
      </c>
      <c r="JB71" s="3" t="s">
        <v>1</v>
      </c>
      <c r="JC71" t="s">
        <v>1</v>
      </c>
      <c r="JD71" s="4" t="s">
        <v>1</v>
      </c>
      <c r="JE71" t="s">
        <v>810</v>
      </c>
      <c r="JF71">
        <v>100</v>
      </c>
      <c r="JR71" t="s">
        <v>1066</v>
      </c>
      <c r="JS71">
        <v>158.19999999999999</v>
      </c>
      <c r="JU71" t="s">
        <v>1</v>
      </c>
      <c r="JW71" t="s">
        <v>1</v>
      </c>
      <c r="JX71">
        <v>0</v>
      </c>
      <c r="JY71">
        <v>100</v>
      </c>
      <c r="JZ71" t="s">
        <v>800</v>
      </c>
      <c r="KA71" t="s">
        <v>72</v>
      </c>
      <c r="KB71" t="s">
        <v>738</v>
      </c>
      <c r="KC71" t="s">
        <v>1</v>
      </c>
      <c r="KD71" t="s">
        <v>1</v>
      </c>
      <c r="KE71" t="s">
        <v>1</v>
      </c>
      <c r="KF71" t="s">
        <v>1</v>
      </c>
      <c r="KG71" t="s">
        <v>1</v>
      </c>
      <c r="KH71" t="s">
        <v>1</v>
      </c>
      <c r="KI71" t="s">
        <v>1</v>
      </c>
      <c r="KJ71" t="s">
        <v>1</v>
      </c>
      <c r="KK71" t="s">
        <v>1</v>
      </c>
    </row>
    <row r="72" spans="1:297" x14ac:dyDescent="0.2">
      <c r="A72">
        <v>71</v>
      </c>
      <c r="B72" t="s">
        <v>705</v>
      </c>
      <c r="C72" t="s">
        <v>1300</v>
      </c>
      <c r="D72" t="s">
        <v>77</v>
      </c>
      <c r="E72">
        <v>8</v>
      </c>
      <c r="F72" t="s">
        <v>750</v>
      </c>
      <c r="G72" t="s">
        <v>77</v>
      </c>
      <c r="H72" s="26" t="s">
        <v>1420</v>
      </c>
      <c r="I72" t="s">
        <v>751</v>
      </c>
      <c r="J72">
        <v>2015</v>
      </c>
      <c r="K72" t="s">
        <v>1</v>
      </c>
      <c r="L72" t="s">
        <v>1</v>
      </c>
      <c r="M72">
        <v>127</v>
      </c>
      <c r="N72" t="s">
        <v>1</v>
      </c>
      <c r="O72" t="s">
        <v>1301</v>
      </c>
      <c r="P72">
        <v>3</v>
      </c>
      <c r="Q72" t="s">
        <v>752</v>
      </c>
      <c r="R72" t="s">
        <v>753</v>
      </c>
      <c r="S72" t="b">
        <v>0</v>
      </c>
      <c r="T72" t="s">
        <v>1</v>
      </c>
      <c r="U72" t="s">
        <v>1</v>
      </c>
      <c r="V72" t="s">
        <v>1</v>
      </c>
      <c r="W72" t="s">
        <v>1</v>
      </c>
      <c r="X72" t="s">
        <v>1</v>
      </c>
      <c r="Y72" t="s">
        <v>1</v>
      </c>
      <c r="Z72" t="s">
        <v>1</v>
      </c>
      <c r="AA72" t="s">
        <v>1</v>
      </c>
      <c r="AB72" t="s">
        <v>1</v>
      </c>
      <c r="AC72" t="s">
        <v>1</v>
      </c>
      <c r="AD72" t="s">
        <v>1</v>
      </c>
      <c r="AE72" t="s">
        <v>1</v>
      </c>
      <c r="AF72" t="s">
        <v>1</v>
      </c>
      <c r="AG72" t="s">
        <v>1</v>
      </c>
      <c r="AH72" t="s">
        <v>1</v>
      </c>
      <c r="AI72" t="s">
        <v>1</v>
      </c>
      <c r="AJ72" t="s">
        <v>1</v>
      </c>
      <c r="AK72" t="s">
        <v>1</v>
      </c>
      <c r="AL72" t="s">
        <v>1</v>
      </c>
      <c r="AM72" t="s">
        <v>1</v>
      </c>
      <c r="AN72">
        <v>71</v>
      </c>
      <c r="AO72">
        <f t="shared" si="7"/>
        <v>71</v>
      </c>
      <c r="AP72">
        <f t="shared" si="5"/>
        <v>8</v>
      </c>
      <c r="AQ72">
        <f t="shared" si="6"/>
        <v>8</v>
      </c>
      <c r="AR72" s="26" t="s">
        <v>1355</v>
      </c>
      <c r="AS72" s="26" t="s">
        <v>1356</v>
      </c>
      <c r="AT72" t="s">
        <v>712</v>
      </c>
      <c r="AU72" t="s">
        <v>1</v>
      </c>
      <c r="AV72" t="s">
        <v>1</v>
      </c>
      <c r="AW72">
        <v>45.15</v>
      </c>
      <c r="AX72">
        <v>-64.42</v>
      </c>
      <c r="AY72" t="s">
        <v>737</v>
      </c>
      <c r="BA72" s="3">
        <v>3</v>
      </c>
      <c r="BB72" s="3"/>
      <c r="BC72" s="3"/>
      <c r="BD72" s="3"/>
      <c r="BE72" s="3"/>
      <c r="BF72">
        <v>2012</v>
      </c>
      <c r="BG72" s="24" t="s">
        <v>733</v>
      </c>
      <c r="BH72" s="24" t="s">
        <v>733</v>
      </c>
      <c r="BI72" s="24" t="s">
        <v>733</v>
      </c>
      <c r="BJ72" s="24" t="s">
        <v>732</v>
      </c>
      <c r="BK72" s="24" t="s">
        <v>733</v>
      </c>
      <c r="BL72" s="25" t="s">
        <v>733</v>
      </c>
      <c r="BM72" s="24" t="s">
        <v>733</v>
      </c>
      <c r="BN72" s="24" t="s">
        <v>732</v>
      </c>
      <c r="BO72" s="24" t="s">
        <v>733</v>
      </c>
      <c r="BP72" s="24" t="s">
        <v>733</v>
      </c>
      <c r="BQ72" s="24" t="s">
        <v>945</v>
      </c>
      <c r="BR72" s="24" t="s">
        <v>945</v>
      </c>
      <c r="BS72" s="25" t="s">
        <v>934</v>
      </c>
      <c r="BT72" s="24" t="s">
        <v>934</v>
      </c>
      <c r="BU72" s="24" t="s">
        <v>934</v>
      </c>
      <c r="BV72" s="24" t="s">
        <v>934</v>
      </c>
      <c r="BW72" s="24" t="s">
        <v>934</v>
      </c>
      <c r="BX72" s="24" t="s">
        <v>934</v>
      </c>
      <c r="BY72" s="25" t="s">
        <v>945</v>
      </c>
      <c r="BZ72" t="s">
        <v>1413</v>
      </c>
      <c r="CB72" t="s">
        <v>1</v>
      </c>
      <c r="CC72" s="4">
        <f>1.71*1000</f>
        <v>1710</v>
      </c>
      <c r="CD72" s="4"/>
      <c r="CE72" s="4"/>
      <c r="CF72" t="s">
        <v>793</v>
      </c>
      <c r="CG72">
        <v>100</v>
      </c>
      <c r="CH72" t="s">
        <v>805</v>
      </c>
      <c r="CI72" s="1">
        <v>0.4</v>
      </c>
      <c r="CJ72" s="10" t="s">
        <v>1442</v>
      </c>
      <c r="CK72" s="9" t="s">
        <v>1</v>
      </c>
      <c r="CL72" s="4" t="s">
        <v>1</v>
      </c>
      <c r="CM72" t="s">
        <v>847</v>
      </c>
      <c r="CN72" s="4">
        <v>58</v>
      </c>
      <c r="CO72" s="4"/>
      <c r="CP72" s="4" t="s">
        <v>1</v>
      </c>
      <c r="CQ72" s="4" t="s">
        <v>1</v>
      </c>
      <c r="CR72" s="4" t="s">
        <v>1</v>
      </c>
      <c r="CS72" s="4" t="s">
        <v>1</v>
      </c>
      <c r="CT72" s="4" t="s">
        <v>1</v>
      </c>
      <c r="CU72" s="4" t="s">
        <v>1</v>
      </c>
      <c r="CV72" t="s">
        <v>855</v>
      </c>
      <c r="CW72">
        <v>100</v>
      </c>
      <c r="CX72">
        <v>0</v>
      </c>
      <c r="CY72">
        <v>30</v>
      </c>
      <c r="CZ72" s="26" t="s">
        <v>1358</v>
      </c>
      <c r="DA72" t="s">
        <v>734</v>
      </c>
      <c r="DB72">
        <v>69.5</v>
      </c>
      <c r="DC72">
        <v>0</v>
      </c>
      <c r="DD72">
        <v>30</v>
      </c>
      <c r="DE72" s="26" t="s">
        <v>1358</v>
      </c>
      <c r="DF72" t="s">
        <v>735</v>
      </c>
      <c r="DG72">
        <v>15.5</v>
      </c>
      <c r="DH72">
        <v>0</v>
      </c>
      <c r="DI72">
        <v>30</v>
      </c>
      <c r="DJ72" s="26" t="s">
        <v>1358</v>
      </c>
      <c r="DK72" t="s">
        <v>736</v>
      </c>
      <c r="DL72">
        <v>15</v>
      </c>
      <c r="DM72">
        <v>0</v>
      </c>
      <c r="DN72">
        <v>30</v>
      </c>
      <c r="DO72" s="26" t="s">
        <v>1358</v>
      </c>
      <c r="DP72" t="s">
        <v>6</v>
      </c>
      <c r="DQ72" t="s">
        <v>813</v>
      </c>
      <c r="DR72">
        <v>6.3</v>
      </c>
      <c r="DS72">
        <v>0</v>
      </c>
      <c r="DT72">
        <v>30</v>
      </c>
      <c r="DU72" s="26" t="s">
        <v>1358</v>
      </c>
      <c r="EA72" t="s">
        <v>982</v>
      </c>
      <c r="EB72">
        <v>15.700000000000001</v>
      </c>
      <c r="EC72">
        <v>0</v>
      </c>
      <c r="ED72">
        <v>30</v>
      </c>
      <c r="EE72" s="26" t="s">
        <v>1358</v>
      </c>
      <c r="EF72" s="26"/>
      <c r="FZ72" t="s">
        <v>806</v>
      </c>
      <c r="GA72">
        <v>832</v>
      </c>
      <c r="GE72" s="26" t="s">
        <v>1358</v>
      </c>
      <c r="HA72" s="5" t="s">
        <v>1</v>
      </c>
      <c r="HB72" s="4" t="s">
        <v>1</v>
      </c>
      <c r="HC72" t="s">
        <v>1</v>
      </c>
      <c r="HD72" t="s">
        <v>1</v>
      </c>
      <c r="HE72" t="s">
        <v>1</v>
      </c>
      <c r="HF72" s="5" t="s">
        <v>1063</v>
      </c>
      <c r="HG72" s="4">
        <v>1.4000000000000001</v>
      </c>
      <c r="HH72">
        <v>0</v>
      </c>
      <c r="HI72">
        <v>30</v>
      </c>
      <c r="HJ72" s="26" t="s">
        <v>1358</v>
      </c>
      <c r="HK72" t="s">
        <v>815</v>
      </c>
      <c r="HL72" s="34">
        <v>1.5049999999999999</v>
      </c>
      <c r="HM72">
        <v>0</v>
      </c>
      <c r="HN72">
        <v>30</v>
      </c>
      <c r="HO72" t="s">
        <v>1</v>
      </c>
      <c r="HP72" s="26" t="s">
        <v>1358</v>
      </c>
      <c r="HZ72" t="s">
        <v>1</v>
      </c>
      <c r="IA72" t="s">
        <v>1</v>
      </c>
      <c r="IB72" s="10" t="s">
        <v>1</v>
      </c>
      <c r="IC72" s="10"/>
      <c r="ID72" s="10"/>
      <c r="IE72" s="10" t="s">
        <v>1</v>
      </c>
      <c r="IF72" s="10" t="s">
        <v>1</v>
      </c>
      <c r="IG72" s="10"/>
      <c r="IH72" s="10"/>
      <c r="II72" s="10"/>
      <c r="IJ72" s="10"/>
      <c r="IK72" s="10"/>
      <c r="IL72" s="10"/>
      <c r="IM72" s="10"/>
      <c r="IN72" s="10"/>
      <c r="IO72" s="10"/>
      <c r="IP72" s="10"/>
      <c r="IQ72" s="10"/>
      <c r="IR72" s="10"/>
      <c r="IS72" t="s">
        <v>1</v>
      </c>
      <c r="IT72" t="s">
        <v>1</v>
      </c>
      <c r="IW72" t="s">
        <v>1</v>
      </c>
      <c r="IX72" t="s">
        <v>1</v>
      </c>
      <c r="IY72" t="s">
        <v>808</v>
      </c>
      <c r="IZ72">
        <v>762</v>
      </c>
      <c r="JA72" t="s">
        <v>1</v>
      </c>
      <c r="JB72" s="3" t="s">
        <v>1</v>
      </c>
      <c r="JC72" t="s">
        <v>965</v>
      </c>
      <c r="JD72" s="4">
        <v>3</v>
      </c>
      <c r="JE72" t="s">
        <v>1</v>
      </c>
      <c r="JF72" t="s">
        <v>1</v>
      </c>
      <c r="JR72" t="s">
        <v>1066</v>
      </c>
      <c r="JS72">
        <v>17.3</v>
      </c>
      <c r="JU72">
        <v>0.43</v>
      </c>
      <c r="JW72" t="s">
        <v>842</v>
      </c>
      <c r="JX72">
        <v>0</v>
      </c>
      <c r="JY72">
        <v>60</v>
      </c>
      <c r="JZ72" t="s">
        <v>796</v>
      </c>
      <c r="KA72" t="s">
        <v>78</v>
      </c>
      <c r="KB72" t="s">
        <v>738</v>
      </c>
      <c r="KC72" t="s">
        <v>1</v>
      </c>
      <c r="KD72" t="s">
        <v>1</v>
      </c>
      <c r="KE72" t="s">
        <v>1</v>
      </c>
      <c r="KF72" t="s">
        <v>1</v>
      </c>
      <c r="KG72" t="s">
        <v>1</v>
      </c>
      <c r="KH72" t="s">
        <v>1</v>
      </c>
      <c r="KI72" t="s">
        <v>1</v>
      </c>
      <c r="KJ72" t="s">
        <v>1</v>
      </c>
      <c r="KK72" t="s">
        <v>1</v>
      </c>
    </row>
    <row r="73" spans="1:297" x14ac:dyDescent="0.2">
      <c r="A73">
        <v>72</v>
      </c>
      <c r="B73" t="s">
        <v>705</v>
      </c>
      <c r="C73" t="s">
        <v>1302</v>
      </c>
      <c r="D73" t="s">
        <v>77</v>
      </c>
      <c r="E73">
        <v>8</v>
      </c>
      <c r="F73" t="s">
        <v>750</v>
      </c>
      <c r="G73" t="s">
        <v>77</v>
      </c>
      <c r="H73" s="26" t="s">
        <v>1420</v>
      </c>
      <c r="I73" t="s">
        <v>751</v>
      </c>
      <c r="J73">
        <v>2015</v>
      </c>
      <c r="K73" t="s">
        <v>1</v>
      </c>
      <c r="L73" t="s">
        <v>1</v>
      </c>
      <c r="M73">
        <v>127</v>
      </c>
      <c r="N73" t="s">
        <v>1</v>
      </c>
      <c r="O73" t="s">
        <v>1301</v>
      </c>
      <c r="P73">
        <v>3</v>
      </c>
      <c r="Q73" t="s">
        <v>752</v>
      </c>
      <c r="R73" t="s">
        <v>753</v>
      </c>
      <c r="S73" t="b">
        <v>0</v>
      </c>
      <c r="T73" t="s">
        <v>1</v>
      </c>
      <c r="U73" t="s">
        <v>1</v>
      </c>
      <c r="V73" t="s">
        <v>1</v>
      </c>
      <c r="W73" t="s">
        <v>1</v>
      </c>
      <c r="X73" t="s">
        <v>1</v>
      </c>
      <c r="Y73" t="s">
        <v>1</v>
      </c>
      <c r="Z73" t="s">
        <v>1</v>
      </c>
      <c r="AA73" t="s">
        <v>1</v>
      </c>
      <c r="AB73" t="s">
        <v>1</v>
      </c>
      <c r="AC73" t="s">
        <v>1</v>
      </c>
      <c r="AD73" t="s">
        <v>1</v>
      </c>
      <c r="AE73" t="s">
        <v>1</v>
      </c>
      <c r="AF73" t="s">
        <v>1</v>
      </c>
      <c r="AG73" t="s">
        <v>1</v>
      </c>
      <c r="AH73" t="s">
        <v>1</v>
      </c>
      <c r="AI73" t="s">
        <v>1</v>
      </c>
      <c r="AJ73" t="s">
        <v>1</v>
      </c>
      <c r="AK73" t="s">
        <v>1</v>
      </c>
      <c r="AL73" t="s">
        <v>1</v>
      </c>
      <c r="AM73" t="s">
        <v>1</v>
      </c>
      <c r="AN73">
        <v>72</v>
      </c>
      <c r="AO73">
        <f t="shared" si="7"/>
        <v>72</v>
      </c>
      <c r="AP73">
        <f t="shared" si="5"/>
        <v>8</v>
      </c>
      <c r="AQ73">
        <f t="shared" si="6"/>
        <v>8</v>
      </c>
      <c r="AR73" s="26" t="s">
        <v>1355</v>
      </c>
      <c r="AS73" s="26" t="s">
        <v>1356</v>
      </c>
      <c r="AT73" t="s">
        <v>712</v>
      </c>
      <c r="AU73" t="s">
        <v>1</v>
      </c>
      <c r="AV73" t="s">
        <v>1</v>
      </c>
      <c r="AW73">
        <v>45.15</v>
      </c>
      <c r="AX73">
        <v>-64.42</v>
      </c>
      <c r="AY73" t="s">
        <v>737</v>
      </c>
      <c r="BA73" s="3">
        <v>3</v>
      </c>
      <c r="BB73" s="3"/>
      <c r="BC73" s="3"/>
      <c r="BD73" s="3"/>
      <c r="BE73" s="3"/>
      <c r="BF73">
        <v>2012</v>
      </c>
      <c r="BG73" s="24" t="s">
        <v>733</v>
      </c>
      <c r="BH73" s="24" t="s">
        <v>733</v>
      </c>
      <c r="BI73" s="24" t="s">
        <v>733</v>
      </c>
      <c r="BJ73" s="24" t="s">
        <v>732</v>
      </c>
      <c r="BK73" s="24" t="s">
        <v>733</v>
      </c>
      <c r="BL73" s="25" t="s">
        <v>733</v>
      </c>
      <c r="BM73" s="24" t="s">
        <v>733</v>
      </c>
      <c r="BN73" s="24" t="s">
        <v>732</v>
      </c>
      <c r="BO73" s="24" t="s">
        <v>733</v>
      </c>
      <c r="BP73" s="24" t="s">
        <v>733</v>
      </c>
      <c r="BQ73" s="24" t="s">
        <v>945</v>
      </c>
      <c r="BR73" s="24" t="s">
        <v>945</v>
      </c>
      <c r="BS73" s="25" t="s">
        <v>934</v>
      </c>
      <c r="BT73" s="24" t="s">
        <v>934</v>
      </c>
      <c r="BU73" s="24" t="s">
        <v>934</v>
      </c>
      <c r="BV73" s="24" t="s">
        <v>934</v>
      </c>
      <c r="BW73" s="24" t="s">
        <v>934</v>
      </c>
      <c r="BX73" s="24" t="s">
        <v>934</v>
      </c>
      <c r="BY73" s="25" t="s">
        <v>945</v>
      </c>
      <c r="BZ73" t="s">
        <v>1413</v>
      </c>
      <c r="CB73" t="s">
        <v>1</v>
      </c>
      <c r="CC73" s="4" t="s">
        <v>1</v>
      </c>
      <c r="CD73" s="4"/>
      <c r="CE73" s="4"/>
      <c r="CF73" t="s">
        <v>1</v>
      </c>
      <c r="CG73" t="s">
        <v>1</v>
      </c>
      <c r="CH73" t="s">
        <v>805</v>
      </c>
      <c r="CI73" s="1">
        <v>0.4</v>
      </c>
      <c r="CJ73" s="10" t="s">
        <v>1442</v>
      </c>
      <c r="CK73" s="9" t="s">
        <v>1</v>
      </c>
      <c r="CL73" s="4" t="s">
        <v>1</v>
      </c>
      <c r="CM73" t="s">
        <v>847</v>
      </c>
      <c r="CN73" s="4">
        <v>84</v>
      </c>
      <c r="CO73" s="4"/>
      <c r="CP73" s="4" t="s">
        <v>1</v>
      </c>
      <c r="CQ73" s="4" t="s">
        <v>1</v>
      </c>
      <c r="CR73" s="4" t="s">
        <v>1</v>
      </c>
      <c r="CS73" s="4" t="s">
        <v>1</v>
      </c>
      <c r="CT73" s="4" t="s">
        <v>1</v>
      </c>
      <c r="CU73" s="4" t="s">
        <v>1</v>
      </c>
      <c r="CV73" t="s">
        <v>855</v>
      </c>
      <c r="CW73">
        <v>100</v>
      </c>
      <c r="CX73">
        <v>0</v>
      </c>
      <c r="CY73">
        <v>30</v>
      </c>
      <c r="CZ73" s="26" t="s">
        <v>1358</v>
      </c>
      <c r="DA73" t="s">
        <v>734</v>
      </c>
      <c r="DB73">
        <v>69.5</v>
      </c>
      <c r="DC73">
        <v>0</v>
      </c>
      <c r="DD73">
        <v>30</v>
      </c>
      <c r="DE73" s="26" t="s">
        <v>1358</v>
      </c>
      <c r="DF73" t="s">
        <v>735</v>
      </c>
      <c r="DG73">
        <v>15.5</v>
      </c>
      <c r="DH73">
        <v>0</v>
      </c>
      <c r="DI73">
        <v>30</v>
      </c>
      <c r="DJ73" s="26" t="s">
        <v>1358</v>
      </c>
      <c r="DK73" t="s">
        <v>736</v>
      </c>
      <c r="DL73">
        <v>15</v>
      </c>
      <c r="DM73">
        <v>0</v>
      </c>
      <c r="DN73">
        <v>30</v>
      </c>
      <c r="DO73" s="26" t="s">
        <v>1358</v>
      </c>
      <c r="DP73" t="s">
        <v>6</v>
      </c>
      <c r="DQ73" t="s">
        <v>813</v>
      </c>
      <c r="DR73">
        <v>6.3</v>
      </c>
      <c r="DS73">
        <v>0</v>
      </c>
      <c r="DT73">
        <v>30</v>
      </c>
      <c r="DU73" s="26" t="s">
        <v>1358</v>
      </c>
      <c r="EA73" t="s">
        <v>982</v>
      </c>
      <c r="EB73">
        <v>15.700000000000001</v>
      </c>
      <c r="EC73">
        <v>0</v>
      </c>
      <c r="ED73">
        <v>30</v>
      </c>
      <c r="EE73" s="26" t="s">
        <v>1358</v>
      </c>
      <c r="EF73" s="26"/>
      <c r="FZ73" t="s">
        <v>806</v>
      </c>
      <c r="GA73">
        <v>832</v>
      </c>
      <c r="GE73" s="26" t="s">
        <v>1358</v>
      </c>
      <c r="HA73" s="5" t="s">
        <v>1</v>
      </c>
      <c r="HB73" s="4" t="s">
        <v>1</v>
      </c>
      <c r="HC73" t="s">
        <v>1</v>
      </c>
      <c r="HD73" t="s">
        <v>1</v>
      </c>
      <c r="HE73" t="s">
        <v>1</v>
      </c>
      <c r="HF73" s="5" t="s">
        <v>1063</v>
      </c>
      <c r="HG73" s="4">
        <v>1.4000000000000001</v>
      </c>
      <c r="HH73">
        <v>0</v>
      </c>
      <c r="HI73">
        <v>30</v>
      </c>
      <c r="HJ73" s="26" t="s">
        <v>1358</v>
      </c>
      <c r="HK73" t="s">
        <v>815</v>
      </c>
      <c r="HL73" s="34">
        <v>1.5049999999999999</v>
      </c>
      <c r="HM73">
        <v>0</v>
      </c>
      <c r="HN73">
        <v>30</v>
      </c>
      <c r="HO73" t="s">
        <v>1</v>
      </c>
      <c r="HP73" s="26" t="s">
        <v>1358</v>
      </c>
      <c r="HZ73" t="s">
        <v>1295</v>
      </c>
      <c r="IA73">
        <v>120</v>
      </c>
      <c r="IB73" s="10" t="s">
        <v>819</v>
      </c>
      <c r="IC73" s="10"/>
      <c r="ID73" s="10"/>
      <c r="IE73" s="10" t="s">
        <v>1</v>
      </c>
      <c r="IF73" s="10" t="s">
        <v>1</v>
      </c>
      <c r="IG73" s="10"/>
      <c r="IH73" s="10"/>
      <c r="II73" s="10"/>
      <c r="IJ73" s="10"/>
      <c r="IK73" s="10"/>
      <c r="IL73" s="10"/>
      <c r="IM73" s="10"/>
      <c r="IN73" s="10"/>
      <c r="IO73" s="10"/>
      <c r="IP73" s="10"/>
      <c r="IQ73" s="10"/>
      <c r="IR73" s="10"/>
      <c r="IS73" t="s">
        <v>1</v>
      </c>
      <c r="IT73" t="s">
        <v>1</v>
      </c>
      <c r="IW73" t="s">
        <v>1</v>
      </c>
      <c r="IX73" t="s">
        <v>1</v>
      </c>
      <c r="IY73" t="s">
        <v>808</v>
      </c>
      <c r="IZ73">
        <v>1524</v>
      </c>
      <c r="JA73" t="s">
        <v>1</v>
      </c>
      <c r="JB73" s="3" t="s">
        <v>1</v>
      </c>
      <c r="JC73" t="s">
        <v>965</v>
      </c>
      <c r="JD73" s="4">
        <v>3</v>
      </c>
      <c r="JE73" t="s">
        <v>1</v>
      </c>
      <c r="JF73" t="s">
        <v>1</v>
      </c>
      <c r="JR73" t="s">
        <v>1066</v>
      </c>
      <c r="JS73">
        <v>134.6</v>
      </c>
      <c r="JU73">
        <v>11.6</v>
      </c>
      <c r="JW73" t="s">
        <v>842</v>
      </c>
      <c r="JX73">
        <v>0</v>
      </c>
      <c r="JY73">
        <v>60</v>
      </c>
      <c r="JZ73" t="s">
        <v>796</v>
      </c>
      <c r="KA73" t="s">
        <v>78</v>
      </c>
      <c r="KB73" t="s">
        <v>738</v>
      </c>
      <c r="KC73" t="s">
        <v>1</v>
      </c>
      <c r="KD73" t="s">
        <v>1</v>
      </c>
      <c r="KE73" t="s">
        <v>1</v>
      </c>
      <c r="KF73" t="s">
        <v>1</v>
      </c>
      <c r="KG73" t="s">
        <v>1</v>
      </c>
      <c r="KH73" t="s">
        <v>1</v>
      </c>
      <c r="KI73" t="s">
        <v>1</v>
      </c>
      <c r="KJ73" t="s">
        <v>1</v>
      </c>
      <c r="KK73" t="s">
        <v>1</v>
      </c>
    </row>
    <row r="74" spans="1:297" x14ac:dyDescent="0.2">
      <c r="A74">
        <v>73</v>
      </c>
      <c r="B74" t="s">
        <v>705</v>
      </c>
      <c r="C74" t="s">
        <v>1303</v>
      </c>
      <c r="D74" t="s">
        <v>77</v>
      </c>
      <c r="E74">
        <v>8</v>
      </c>
      <c r="F74" t="s">
        <v>750</v>
      </c>
      <c r="G74" t="s">
        <v>77</v>
      </c>
      <c r="H74" s="26" t="s">
        <v>1420</v>
      </c>
      <c r="I74" t="s">
        <v>751</v>
      </c>
      <c r="J74">
        <v>2015</v>
      </c>
      <c r="K74" t="s">
        <v>1</v>
      </c>
      <c r="L74" t="s">
        <v>1</v>
      </c>
      <c r="M74">
        <v>127</v>
      </c>
      <c r="N74" t="s">
        <v>1</v>
      </c>
      <c r="O74" t="s">
        <v>1301</v>
      </c>
      <c r="P74">
        <v>3</v>
      </c>
      <c r="Q74" t="s">
        <v>752</v>
      </c>
      <c r="R74" t="s">
        <v>753</v>
      </c>
      <c r="S74" t="b">
        <v>0</v>
      </c>
      <c r="T74" t="s">
        <v>1</v>
      </c>
      <c r="U74" t="s">
        <v>1</v>
      </c>
      <c r="V74" t="s">
        <v>1</v>
      </c>
      <c r="W74" t="s">
        <v>1</v>
      </c>
      <c r="X74" t="s">
        <v>1</v>
      </c>
      <c r="Y74" t="s">
        <v>1</v>
      </c>
      <c r="Z74" t="s">
        <v>1</v>
      </c>
      <c r="AA74" t="s">
        <v>1</v>
      </c>
      <c r="AB74" t="s">
        <v>1</v>
      </c>
      <c r="AC74" t="s">
        <v>1</v>
      </c>
      <c r="AD74" t="s">
        <v>1</v>
      </c>
      <c r="AE74" t="s">
        <v>1</v>
      </c>
      <c r="AF74" t="s">
        <v>1</v>
      </c>
      <c r="AG74" t="s">
        <v>1</v>
      </c>
      <c r="AH74" t="s">
        <v>1</v>
      </c>
      <c r="AI74" t="s">
        <v>1</v>
      </c>
      <c r="AJ74" t="s">
        <v>1</v>
      </c>
      <c r="AK74" t="s">
        <v>1</v>
      </c>
      <c r="AL74" t="s">
        <v>1</v>
      </c>
      <c r="AM74" t="s">
        <v>1</v>
      </c>
      <c r="AN74">
        <v>73</v>
      </c>
      <c r="AO74">
        <f t="shared" si="7"/>
        <v>73</v>
      </c>
      <c r="AP74">
        <f t="shared" si="5"/>
        <v>8</v>
      </c>
      <c r="AQ74">
        <f t="shared" si="6"/>
        <v>8</v>
      </c>
      <c r="AR74" s="26" t="s">
        <v>1355</v>
      </c>
      <c r="AS74" s="26" t="s">
        <v>1356</v>
      </c>
      <c r="AT74" t="s">
        <v>712</v>
      </c>
      <c r="AU74" t="s">
        <v>1</v>
      </c>
      <c r="AV74" t="s">
        <v>1</v>
      </c>
      <c r="AW74">
        <v>45.15</v>
      </c>
      <c r="AX74">
        <v>-64.42</v>
      </c>
      <c r="AY74" t="s">
        <v>737</v>
      </c>
      <c r="BA74" s="3">
        <v>3</v>
      </c>
      <c r="BB74" s="3"/>
      <c r="BC74" s="3"/>
      <c r="BD74" s="3"/>
      <c r="BE74" s="3"/>
      <c r="BF74">
        <v>2012</v>
      </c>
      <c r="BG74" s="24" t="s">
        <v>733</v>
      </c>
      <c r="BH74" s="24" t="s">
        <v>733</v>
      </c>
      <c r="BI74" s="24" t="s">
        <v>733</v>
      </c>
      <c r="BJ74" s="24" t="s">
        <v>732</v>
      </c>
      <c r="BK74" s="24" t="s">
        <v>733</v>
      </c>
      <c r="BL74" s="25" t="s">
        <v>733</v>
      </c>
      <c r="BM74" s="24" t="s">
        <v>733</v>
      </c>
      <c r="BN74" s="24" t="s">
        <v>732</v>
      </c>
      <c r="BO74" s="24" t="s">
        <v>733</v>
      </c>
      <c r="BP74" s="24" t="s">
        <v>733</v>
      </c>
      <c r="BQ74" s="24" t="s">
        <v>945</v>
      </c>
      <c r="BR74" s="24" t="s">
        <v>945</v>
      </c>
      <c r="BS74" s="25" t="s">
        <v>934</v>
      </c>
      <c r="BT74" s="24" t="s">
        <v>934</v>
      </c>
      <c r="BU74" s="24" t="s">
        <v>934</v>
      </c>
      <c r="BV74" s="24" t="s">
        <v>934</v>
      </c>
      <c r="BW74" s="24" t="s">
        <v>934</v>
      </c>
      <c r="BX74" s="24" t="s">
        <v>934</v>
      </c>
      <c r="BY74" s="25" t="s">
        <v>945</v>
      </c>
      <c r="BZ74" t="s">
        <v>1413</v>
      </c>
      <c r="CB74" t="s">
        <v>1</v>
      </c>
      <c r="CC74" s="4">
        <f>2.14*1000</f>
        <v>2140</v>
      </c>
      <c r="CD74" s="4"/>
      <c r="CE74" s="4"/>
      <c r="CF74" t="s">
        <v>793</v>
      </c>
      <c r="CG74">
        <v>100</v>
      </c>
      <c r="CH74" t="s">
        <v>805</v>
      </c>
      <c r="CI74" s="1">
        <v>0.4</v>
      </c>
      <c r="CJ74" s="10" t="s">
        <v>1442</v>
      </c>
      <c r="CK74" s="9" t="s">
        <v>1</v>
      </c>
      <c r="CL74" s="4" t="s">
        <v>1</v>
      </c>
      <c r="CM74" t="s">
        <v>847</v>
      </c>
      <c r="CN74" s="4">
        <v>84</v>
      </c>
      <c r="CO74" s="4"/>
      <c r="CP74" s="4" t="s">
        <v>1</v>
      </c>
      <c r="CQ74" s="4" t="s">
        <v>1</v>
      </c>
      <c r="CR74" s="4" t="s">
        <v>1</v>
      </c>
      <c r="CS74" s="4" t="s">
        <v>1</v>
      </c>
      <c r="CT74" s="4" t="s">
        <v>1</v>
      </c>
      <c r="CU74" s="4" t="s">
        <v>1</v>
      </c>
      <c r="CV74" t="s">
        <v>855</v>
      </c>
      <c r="CW74">
        <v>100</v>
      </c>
      <c r="CX74">
        <v>0</v>
      </c>
      <c r="CY74">
        <v>30</v>
      </c>
      <c r="CZ74" s="26" t="s">
        <v>1358</v>
      </c>
      <c r="DA74" t="s">
        <v>734</v>
      </c>
      <c r="DB74">
        <v>69.5</v>
      </c>
      <c r="DC74">
        <v>0</v>
      </c>
      <c r="DD74">
        <v>30</v>
      </c>
      <c r="DE74" s="26" t="s">
        <v>1358</v>
      </c>
      <c r="DF74" t="s">
        <v>735</v>
      </c>
      <c r="DG74">
        <v>15.5</v>
      </c>
      <c r="DH74">
        <v>0</v>
      </c>
      <c r="DI74">
        <v>30</v>
      </c>
      <c r="DJ74" s="26" t="s">
        <v>1358</v>
      </c>
      <c r="DK74" t="s">
        <v>736</v>
      </c>
      <c r="DL74">
        <v>15</v>
      </c>
      <c r="DM74">
        <v>0</v>
      </c>
      <c r="DN74">
        <v>30</v>
      </c>
      <c r="DO74" s="26" t="s">
        <v>1358</v>
      </c>
      <c r="DP74" t="s">
        <v>6</v>
      </c>
      <c r="DQ74" t="s">
        <v>813</v>
      </c>
      <c r="DR74">
        <v>6.3</v>
      </c>
      <c r="DS74">
        <v>0</v>
      </c>
      <c r="DT74">
        <v>30</v>
      </c>
      <c r="DU74" s="26" t="s">
        <v>1358</v>
      </c>
      <c r="EA74" t="s">
        <v>982</v>
      </c>
      <c r="EB74">
        <v>15.700000000000001</v>
      </c>
      <c r="EC74">
        <v>0</v>
      </c>
      <c r="ED74">
        <v>30</v>
      </c>
      <c r="EE74" s="26" t="s">
        <v>1358</v>
      </c>
      <c r="EF74" s="26"/>
      <c r="FZ74" t="s">
        <v>806</v>
      </c>
      <c r="GA74">
        <v>832</v>
      </c>
      <c r="GE74" s="26" t="s">
        <v>1358</v>
      </c>
      <c r="HA74" s="5" t="s">
        <v>1</v>
      </c>
      <c r="HB74" s="4" t="s">
        <v>1</v>
      </c>
      <c r="HC74" t="s">
        <v>1</v>
      </c>
      <c r="HD74" t="s">
        <v>1</v>
      </c>
      <c r="HE74" t="s">
        <v>1</v>
      </c>
      <c r="HF74" s="5" t="s">
        <v>1063</v>
      </c>
      <c r="HG74" s="4">
        <v>1.4000000000000001</v>
      </c>
      <c r="HH74">
        <v>0</v>
      </c>
      <c r="HI74">
        <v>30</v>
      </c>
      <c r="HJ74" s="26" t="s">
        <v>1358</v>
      </c>
      <c r="HK74" t="s">
        <v>815</v>
      </c>
      <c r="HL74" s="34">
        <v>1.5049999999999999</v>
      </c>
      <c r="HM74">
        <v>0</v>
      </c>
      <c r="HN74">
        <v>30</v>
      </c>
      <c r="HO74" t="s">
        <v>1</v>
      </c>
      <c r="HP74" s="26" t="s">
        <v>1358</v>
      </c>
      <c r="HZ74" t="s">
        <v>1295</v>
      </c>
      <c r="IA74">
        <v>150</v>
      </c>
      <c r="IB74" s="10" t="s">
        <v>819</v>
      </c>
      <c r="IC74" s="10"/>
      <c r="ID74" s="10"/>
      <c r="IE74" s="10" t="s">
        <v>1</v>
      </c>
      <c r="IF74" s="10" t="s">
        <v>1</v>
      </c>
      <c r="IG74" s="10"/>
      <c r="IH74" s="10"/>
      <c r="II74" s="10"/>
      <c r="IJ74" s="10"/>
      <c r="IK74" s="10"/>
      <c r="IL74" s="10"/>
      <c r="IM74" s="10"/>
      <c r="IN74" s="10"/>
      <c r="IO74" s="10"/>
      <c r="IP74" s="10"/>
      <c r="IQ74" s="10"/>
      <c r="IR74" s="10"/>
      <c r="IS74" t="s">
        <v>1</v>
      </c>
      <c r="IT74" t="s">
        <v>1</v>
      </c>
      <c r="IW74" t="s">
        <v>1</v>
      </c>
      <c r="IX74" t="s">
        <v>1</v>
      </c>
      <c r="IY74" t="s">
        <v>808</v>
      </c>
      <c r="IZ74">
        <v>1524</v>
      </c>
      <c r="JA74" t="s">
        <v>1</v>
      </c>
      <c r="JB74" s="3" t="s">
        <v>1</v>
      </c>
      <c r="JC74" t="s">
        <v>965</v>
      </c>
      <c r="JD74" s="4">
        <v>3</v>
      </c>
      <c r="JE74" t="s">
        <v>1</v>
      </c>
      <c r="JF74" t="s">
        <v>1</v>
      </c>
      <c r="JR74" t="s">
        <v>1066</v>
      </c>
      <c r="JS74">
        <v>152.30000000000001</v>
      </c>
      <c r="JU74">
        <v>9.36</v>
      </c>
      <c r="JW74" t="s">
        <v>842</v>
      </c>
      <c r="JX74">
        <v>0</v>
      </c>
      <c r="JY74">
        <v>60</v>
      </c>
      <c r="JZ74" t="s">
        <v>796</v>
      </c>
      <c r="KA74" t="s">
        <v>78</v>
      </c>
      <c r="KB74" t="s">
        <v>738</v>
      </c>
      <c r="KC74" t="s">
        <v>1</v>
      </c>
      <c r="KD74" t="s">
        <v>1</v>
      </c>
      <c r="KE74" t="s">
        <v>1</v>
      </c>
      <c r="KF74" t="s">
        <v>1</v>
      </c>
      <c r="KG74" t="s">
        <v>1</v>
      </c>
      <c r="KH74" t="s">
        <v>1</v>
      </c>
      <c r="KI74" t="s">
        <v>1</v>
      </c>
      <c r="KJ74" t="s">
        <v>1</v>
      </c>
      <c r="KK74" t="s">
        <v>1</v>
      </c>
    </row>
    <row r="75" spans="1:297" x14ac:dyDescent="0.2">
      <c r="A75">
        <v>74</v>
      </c>
      <c r="B75" t="s">
        <v>705</v>
      </c>
      <c r="C75" t="s">
        <v>1304</v>
      </c>
      <c r="D75" t="s">
        <v>77</v>
      </c>
      <c r="E75">
        <v>8</v>
      </c>
      <c r="F75" t="s">
        <v>750</v>
      </c>
      <c r="G75" t="s">
        <v>77</v>
      </c>
      <c r="H75" s="26" t="s">
        <v>1420</v>
      </c>
      <c r="I75" t="s">
        <v>751</v>
      </c>
      <c r="J75">
        <v>2015</v>
      </c>
      <c r="K75" t="s">
        <v>1</v>
      </c>
      <c r="L75" t="s">
        <v>1</v>
      </c>
      <c r="M75">
        <v>127</v>
      </c>
      <c r="N75" t="s">
        <v>1</v>
      </c>
      <c r="O75" t="s">
        <v>1301</v>
      </c>
      <c r="P75">
        <v>3</v>
      </c>
      <c r="Q75" t="s">
        <v>752</v>
      </c>
      <c r="R75" t="s">
        <v>753</v>
      </c>
      <c r="S75" t="b">
        <v>0</v>
      </c>
      <c r="T75" t="s">
        <v>1</v>
      </c>
      <c r="U75" t="s">
        <v>1</v>
      </c>
      <c r="V75" t="s">
        <v>1</v>
      </c>
      <c r="W75" t="s">
        <v>1</v>
      </c>
      <c r="X75" t="s">
        <v>1</v>
      </c>
      <c r="Y75" t="s">
        <v>1</v>
      </c>
      <c r="Z75" t="s">
        <v>1</v>
      </c>
      <c r="AA75" t="s">
        <v>1</v>
      </c>
      <c r="AB75" t="s">
        <v>1</v>
      </c>
      <c r="AC75" t="s">
        <v>1</v>
      </c>
      <c r="AD75" t="s">
        <v>1</v>
      </c>
      <c r="AE75" t="s">
        <v>1</v>
      </c>
      <c r="AF75" t="s">
        <v>1</v>
      </c>
      <c r="AG75" t="s">
        <v>1</v>
      </c>
      <c r="AH75" t="s">
        <v>1</v>
      </c>
      <c r="AI75" t="s">
        <v>1</v>
      </c>
      <c r="AJ75" t="s">
        <v>1</v>
      </c>
      <c r="AK75" t="s">
        <v>1</v>
      </c>
      <c r="AL75" t="s">
        <v>1</v>
      </c>
      <c r="AM75" t="s">
        <v>1</v>
      </c>
      <c r="AN75">
        <v>74</v>
      </c>
      <c r="AO75">
        <f t="shared" si="7"/>
        <v>74</v>
      </c>
      <c r="AP75">
        <f t="shared" si="5"/>
        <v>8</v>
      </c>
      <c r="AQ75">
        <f t="shared" si="6"/>
        <v>8</v>
      </c>
      <c r="AR75" s="26" t="s">
        <v>1355</v>
      </c>
      <c r="AS75" s="26" t="s">
        <v>1356</v>
      </c>
      <c r="AT75" t="s">
        <v>712</v>
      </c>
      <c r="AU75" t="s">
        <v>1</v>
      </c>
      <c r="AV75" t="s">
        <v>1</v>
      </c>
      <c r="AW75">
        <v>45.15</v>
      </c>
      <c r="AX75">
        <v>-64.42</v>
      </c>
      <c r="AY75" t="s">
        <v>737</v>
      </c>
      <c r="BA75" s="3">
        <v>3</v>
      </c>
      <c r="BB75" s="3"/>
      <c r="BC75" s="3"/>
      <c r="BD75" s="3"/>
      <c r="BE75" s="3"/>
      <c r="BF75">
        <v>2012</v>
      </c>
      <c r="BG75" s="24" t="s">
        <v>733</v>
      </c>
      <c r="BH75" s="24" t="s">
        <v>733</v>
      </c>
      <c r="BI75" s="24" t="s">
        <v>733</v>
      </c>
      <c r="BJ75" s="24" t="s">
        <v>732</v>
      </c>
      <c r="BK75" s="24" t="s">
        <v>733</v>
      </c>
      <c r="BL75" s="25" t="s">
        <v>733</v>
      </c>
      <c r="BM75" s="24" t="s">
        <v>733</v>
      </c>
      <c r="BN75" s="24" t="s">
        <v>732</v>
      </c>
      <c r="BO75" s="24" t="s">
        <v>733</v>
      </c>
      <c r="BP75" s="24" t="s">
        <v>733</v>
      </c>
      <c r="BQ75" s="24" t="s">
        <v>945</v>
      </c>
      <c r="BR75" s="24" t="s">
        <v>945</v>
      </c>
      <c r="BS75" s="25" t="s">
        <v>934</v>
      </c>
      <c r="BT75" s="24" t="s">
        <v>934</v>
      </c>
      <c r="BU75" s="24" t="s">
        <v>934</v>
      </c>
      <c r="BV75" s="24" t="s">
        <v>934</v>
      </c>
      <c r="BW75" s="24" t="s">
        <v>934</v>
      </c>
      <c r="BX75" s="24" t="s">
        <v>934</v>
      </c>
      <c r="BY75" s="25" t="s">
        <v>945</v>
      </c>
      <c r="BZ75" t="s">
        <v>1413</v>
      </c>
      <c r="CB75" t="s">
        <v>1</v>
      </c>
      <c r="CC75" s="4">
        <f>2.19*1000</f>
        <v>2190</v>
      </c>
      <c r="CD75" s="4"/>
      <c r="CE75" s="4"/>
      <c r="CF75" t="s">
        <v>793</v>
      </c>
      <c r="CG75">
        <v>100</v>
      </c>
      <c r="CH75" t="s">
        <v>805</v>
      </c>
      <c r="CI75" s="1">
        <v>0.4</v>
      </c>
      <c r="CJ75" s="10" t="s">
        <v>1442</v>
      </c>
      <c r="CK75" s="9" t="s">
        <v>1</v>
      </c>
      <c r="CL75" s="4" t="s">
        <v>1</v>
      </c>
      <c r="CM75" t="s">
        <v>847</v>
      </c>
      <c r="CN75" s="4">
        <v>63</v>
      </c>
      <c r="CO75" s="4"/>
      <c r="CP75" s="4" t="s">
        <v>1</v>
      </c>
      <c r="CQ75" s="4" t="s">
        <v>1</v>
      </c>
      <c r="CR75" s="4" t="s">
        <v>1</v>
      </c>
      <c r="CS75" s="4" t="s">
        <v>1</v>
      </c>
      <c r="CT75" s="4" t="s">
        <v>1</v>
      </c>
      <c r="CU75" s="4" t="s">
        <v>1</v>
      </c>
      <c r="CV75" t="s">
        <v>855</v>
      </c>
      <c r="CW75">
        <v>100</v>
      </c>
      <c r="CX75">
        <v>0</v>
      </c>
      <c r="CY75">
        <v>30</v>
      </c>
      <c r="CZ75" s="26" t="s">
        <v>1358</v>
      </c>
      <c r="DA75" t="s">
        <v>734</v>
      </c>
      <c r="DB75">
        <v>69.5</v>
      </c>
      <c r="DC75">
        <v>0</v>
      </c>
      <c r="DD75">
        <v>30</v>
      </c>
      <c r="DE75" s="26" t="s">
        <v>1358</v>
      </c>
      <c r="DF75" t="s">
        <v>735</v>
      </c>
      <c r="DG75">
        <v>15.5</v>
      </c>
      <c r="DH75">
        <v>0</v>
      </c>
      <c r="DI75">
        <v>30</v>
      </c>
      <c r="DJ75" s="26" t="s">
        <v>1358</v>
      </c>
      <c r="DK75" t="s">
        <v>736</v>
      </c>
      <c r="DL75">
        <v>15</v>
      </c>
      <c r="DM75">
        <v>0</v>
      </c>
      <c r="DN75">
        <v>30</v>
      </c>
      <c r="DO75" s="26" t="s">
        <v>1358</v>
      </c>
      <c r="DP75" t="s">
        <v>6</v>
      </c>
      <c r="DQ75" t="s">
        <v>813</v>
      </c>
      <c r="DR75">
        <v>6.3</v>
      </c>
      <c r="DS75">
        <v>0</v>
      </c>
      <c r="DT75">
        <v>30</v>
      </c>
      <c r="DU75" s="26" t="s">
        <v>1358</v>
      </c>
      <c r="EA75" t="s">
        <v>982</v>
      </c>
      <c r="EB75">
        <v>15.700000000000001</v>
      </c>
      <c r="EC75">
        <v>0</v>
      </c>
      <c r="ED75">
        <v>30</v>
      </c>
      <c r="EE75" s="26" t="s">
        <v>1358</v>
      </c>
      <c r="EF75" s="26"/>
      <c r="FZ75" t="s">
        <v>806</v>
      </c>
      <c r="GA75">
        <v>832</v>
      </c>
      <c r="GE75" s="26" t="s">
        <v>1358</v>
      </c>
      <c r="HA75" s="5" t="s">
        <v>1</v>
      </c>
      <c r="HB75" s="4" t="s">
        <v>1</v>
      </c>
      <c r="HC75" t="s">
        <v>1</v>
      </c>
      <c r="HD75" t="s">
        <v>1</v>
      </c>
      <c r="HE75" t="s">
        <v>1</v>
      </c>
      <c r="HF75" s="5" t="s">
        <v>1063</v>
      </c>
      <c r="HG75" s="4">
        <v>1.4000000000000001</v>
      </c>
      <c r="HH75">
        <v>0</v>
      </c>
      <c r="HI75">
        <v>30</v>
      </c>
      <c r="HJ75" s="26" t="s">
        <v>1358</v>
      </c>
      <c r="HK75" t="s">
        <v>815</v>
      </c>
      <c r="HL75" s="34">
        <v>1.5049999999999999</v>
      </c>
      <c r="HM75">
        <v>0</v>
      </c>
      <c r="HN75">
        <v>30</v>
      </c>
      <c r="HO75" t="s">
        <v>1</v>
      </c>
      <c r="HP75" s="26" t="s">
        <v>1358</v>
      </c>
      <c r="HZ75" t="s">
        <v>1295</v>
      </c>
      <c r="IA75">
        <v>120</v>
      </c>
      <c r="IB75" s="10" t="s">
        <v>819</v>
      </c>
      <c r="IC75" s="10"/>
      <c r="ID75" s="10"/>
      <c r="IE75" s="10" t="s">
        <v>1</v>
      </c>
      <c r="IF75" s="10" t="s">
        <v>1</v>
      </c>
      <c r="IG75" s="10"/>
      <c r="IH75" s="10"/>
      <c r="II75" s="10"/>
      <c r="IJ75" s="10"/>
      <c r="IK75" s="10"/>
      <c r="IL75" s="10"/>
      <c r="IM75" s="10"/>
      <c r="IN75" s="10"/>
      <c r="IO75" s="10"/>
      <c r="IP75" s="10"/>
      <c r="IQ75" s="10"/>
      <c r="IR75" s="10"/>
      <c r="IS75" t="s">
        <v>1</v>
      </c>
      <c r="IT75" t="s">
        <v>1</v>
      </c>
      <c r="IW75" t="s">
        <v>1</v>
      </c>
      <c r="IX75" t="s">
        <v>1</v>
      </c>
      <c r="IY75" t="s">
        <v>808</v>
      </c>
      <c r="IZ75">
        <v>762</v>
      </c>
      <c r="JA75" t="s">
        <v>1</v>
      </c>
      <c r="JB75" s="3" t="s">
        <v>1</v>
      </c>
      <c r="JC75" t="s">
        <v>965</v>
      </c>
      <c r="JD75" s="4">
        <v>3</v>
      </c>
      <c r="JE75" t="s">
        <v>1</v>
      </c>
      <c r="JF75" t="s">
        <v>1</v>
      </c>
      <c r="JR75" t="s">
        <v>1066</v>
      </c>
      <c r="JS75">
        <v>204.1</v>
      </c>
      <c r="JU75">
        <v>12.1</v>
      </c>
      <c r="JW75" t="s">
        <v>842</v>
      </c>
      <c r="JX75">
        <v>0</v>
      </c>
      <c r="JY75">
        <v>60</v>
      </c>
      <c r="JZ75" t="s">
        <v>796</v>
      </c>
      <c r="KA75" t="s">
        <v>78</v>
      </c>
      <c r="KB75" t="s">
        <v>738</v>
      </c>
      <c r="KC75" t="s">
        <v>1</v>
      </c>
      <c r="KD75" t="s">
        <v>1</v>
      </c>
      <c r="KE75" t="s">
        <v>1</v>
      </c>
      <c r="KF75" t="s">
        <v>1</v>
      </c>
      <c r="KG75" t="s">
        <v>1</v>
      </c>
      <c r="KH75" t="s">
        <v>1</v>
      </c>
      <c r="KI75" t="s">
        <v>1</v>
      </c>
      <c r="KJ75" t="s">
        <v>1</v>
      </c>
      <c r="KK75" t="s">
        <v>1</v>
      </c>
    </row>
    <row r="76" spans="1:297" x14ac:dyDescent="0.2">
      <c r="A76">
        <v>75</v>
      </c>
      <c r="B76" t="s">
        <v>705</v>
      </c>
      <c r="C76" t="s">
        <v>1305</v>
      </c>
      <c r="D76" t="s">
        <v>77</v>
      </c>
      <c r="E76">
        <v>8</v>
      </c>
      <c r="F76" t="s">
        <v>750</v>
      </c>
      <c r="G76" t="s">
        <v>77</v>
      </c>
      <c r="H76" s="26" t="s">
        <v>1420</v>
      </c>
      <c r="I76" t="s">
        <v>751</v>
      </c>
      <c r="J76">
        <v>2015</v>
      </c>
      <c r="K76" t="s">
        <v>1</v>
      </c>
      <c r="L76" t="s">
        <v>1</v>
      </c>
      <c r="M76">
        <v>127</v>
      </c>
      <c r="N76" t="s">
        <v>1</v>
      </c>
      <c r="O76" t="s">
        <v>1301</v>
      </c>
      <c r="P76">
        <v>3</v>
      </c>
      <c r="Q76" t="s">
        <v>752</v>
      </c>
      <c r="R76" t="s">
        <v>753</v>
      </c>
      <c r="S76" t="b">
        <v>0</v>
      </c>
      <c r="T76" t="s">
        <v>1</v>
      </c>
      <c r="U76" t="s">
        <v>1</v>
      </c>
      <c r="V76" t="s">
        <v>1</v>
      </c>
      <c r="W76" t="s">
        <v>1</v>
      </c>
      <c r="X76" t="s">
        <v>1</v>
      </c>
      <c r="Y76" t="s">
        <v>1</v>
      </c>
      <c r="Z76" t="s">
        <v>1</v>
      </c>
      <c r="AA76" t="s">
        <v>1</v>
      </c>
      <c r="AB76" t="s">
        <v>1</v>
      </c>
      <c r="AC76" t="s">
        <v>1</v>
      </c>
      <c r="AD76" t="s">
        <v>1</v>
      </c>
      <c r="AE76" t="s">
        <v>1</v>
      </c>
      <c r="AF76" t="s">
        <v>1</v>
      </c>
      <c r="AG76" t="s">
        <v>1</v>
      </c>
      <c r="AH76" t="s">
        <v>1</v>
      </c>
      <c r="AI76" t="s">
        <v>1</v>
      </c>
      <c r="AJ76" t="s">
        <v>1</v>
      </c>
      <c r="AK76" t="s">
        <v>1</v>
      </c>
      <c r="AL76" t="s">
        <v>1</v>
      </c>
      <c r="AM76" t="s">
        <v>1</v>
      </c>
      <c r="AN76">
        <v>75</v>
      </c>
      <c r="AO76">
        <f t="shared" si="7"/>
        <v>75</v>
      </c>
      <c r="AP76">
        <f t="shared" si="5"/>
        <v>8</v>
      </c>
      <c r="AQ76">
        <f t="shared" si="6"/>
        <v>8</v>
      </c>
      <c r="AR76" s="26" t="s">
        <v>1355</v>
      </c>
      <c r="AS76" s="26" t="s">
        <v>1356</v>
      </c>
      <c r="AT76" t="s">
        <v>712</v>
      </c>
      <c r="AU76" t="s">
        <v>1</v>
      </c>
      <c r="AV76" t="s">
        <v>1</v>
      </c>
      <c r="AW76">
        <v>45.15</v>
      </c>
      <c r="AX76">
        <v>-64.42</v>
      </c>
      <c r="AY76" t="s">
        <v>737</v>
      </c>
      <c r="BA76" s="3">
        <v>3</v>
      </c>
      <c r="BB76" s="3"/>
      <c r="BC76" s="3"/>
      <c r="BD76" s="3"/>
      <c r="BE76" s="3"/>
      <c r="BF76">
        <v>2012</v>
      </c>
      <c r="BG76" s="24" t="s">
        <v>733</v>
      </c>
      <c r="BH76" s="24" t="s">
        <v>733</v>
      </c>
      <c r="BI76" s="24" t="s">
        <v>733</v>
      </c>
      <c r="BJ76" s="24" t="s">
        <v>732</v>
      </c>
      <c r="BK76" s="24" t="s">
        <v>733</v>
      </c>
      <c r="BL76" s="25" t="s">
        <v>733</v>
      </c>
      <c r="BM76" s="24" t="s">
        <v>733</v>
      </c>
      <c r="BN76" s="24" t="s">
        <v>732</v>
      </c>
      <c r="BO76" s="24" t="s">
        <v>733</v>
      </c>
      <c r="BP76" s="24" t="s">
        <v>733</v>
      </c>
      <c r="BQ76" s="24" t="s">
        <v>945</v>
      </c>
      <c r="BR76" s="24" t="s">
        <v>945</v>
      </c>
      <c r="BS76" s="25" t="s">
        <v>934</v>
      </c>
      <c r="BT76" s="24" t="s">
        <v>934</v>
      </c>
      <c r="BU76" s="24" t="s">
        <v>934</v>
      </c>
      <c r="BV76" s="24" t="s">
        <v>934</v>
      </c>
      <c r="BW76" s="24" t="s">
        <v>934</v>
      </c>
      <c r="BX76" s="24" t="s">
        <v>934</v>
      </c>
      <c r="BY76" s="25" t="s">
        <v>945</v>
      </c>
      <c r="BZ76" t="s">
        <v>1413</v>
      </c>
      <c r="CB76" t="s">
        <v>1</v>
      </c>
      <c r="CC76" s="4" t="s">
        <v>1</v>
      </c>
      <c r="CD76" s="4"/>
      <c r="CE76" s="4"/>
      <c r="CF76" t="s">
        <v>1</v>
      </c>
      <c r="CG76" t="s">
        <v>1</v>
      </c>
      <c r="CH76" t="s">
        <v>805</v>
      </c>
      <c r="CI76" s="1">
        <v>0.4</v>
      </c>
      <c r="CJ76" s="10" t="s">
        <v>1442</v>
      </c>
      <c r="CK76" s="9" t="s">
        <v>1</v>
      </c>
      <c r="CL76" s="4" t="s">
        <v>1</v>
      </c>
      <c r="CM76" t="s">
        <v>847</v>
      </c>
      <c r="CN76" s="4">
        <v>65</v>
      </c>
      <c r="CO76" s="4"/>
      <c r="CP76" s="4" t="s">
        <v>1</v>
      </c>
      <c r="CQ76" s="4" t="s">
        <v>1</v>
      </c>
      <c r="CR76" s="4" t="s">
        <v>1</v>
      </c>
      <c r="CS76" s="4" t="s">
        <v>1</v>
      </c>
      <c r="CT76" s="4" t="s">
        <v>1</v>
      </c>
      <c r="CU76" s="4" t="s">
        <v>1</v>
      </c>
      <c r="CV76" t="s">
        <v>855</v>
      </c>
      <c r="CW76">
        <v>100</v>
      </c>
      <c r="CX76">
        <v>0</v>
      </c>
      <c r="CY76">
        <v>30</v>
      </c>
      <c r="CZ76" s="26" t="s">
        <v>1358</v>
      </c>
      <c r="DA76" t="s">
        <v>734</v>
      </c>
      <c r="DB76">
        <v>69.5</v>
      </c>
      <c r="DC76">
        <v>0</v>
      </c>
      <c r="DD76">
        <v>30</v>
      </c>
      <c r="DE76" s="26" t="s">
        <v>1358</v>
      </c>
      <c r="DF76" t="s">
        <v>735</v>
      </c>
      <c r="DG76">
        <v>15.5</v>
      </c>
      <c r="DH76">
        <v>0</v>
      </c>
      <c r="DI76">
        <v>30</v>
      </c>
      <c r="DJ76" s="26" t="s">
        <v>1358</v>
      </c>
      <c r="DK76" t="s">
        <v>736</v>
      </c>
      <c r="DL76">
        <v>15</v>
      </c>
      <c r="DM76">
        <v>0</v>
      </c>
      <c r="DN76">
        <v>30</v>
      </c>
      <c r="DO76" s="26" t="s">
        <v>1358</v>
      </c>
      <c r="DP76" t="s">
        <v>6</v>
      </c>
      <c r="DQ76" t="s">
        <v>813</v>
      </c>
      <c r="DR76">
        <v>6.3</v>
      </c>
      <c r="DS76">
        <v>0</v>
      </c>
      <c r="DT76">
        <v>30</v>
      </c>
      <c r="DU76" s="26" t="s">
        <v>1358</v>
      </c>
      <c r="EA76" t="s">
        <v>982</v>
      </c>
      <c r="EB76">
        <v>15.700000000000001</v>
      </c>
      <c r="EC76">
        <v>0</v>
      </c>
      <c r="ED76">
        <v>30</v>
      </c>
      <c r="EE76" s="26" t="s">
        <v>1358</v>
      </c>
      <c r="EF76" s="26"/>
      <c r="FZ76" t="s">
        <v>806</v>
      </c>
      <c r="GA76">
        <v>832</v>
      </c>
      <c r="GE76" s="26" t="s">
        <v>1358</v>
      </c>
      <c r="HA76" s="5" t="s">
        <v>1</v>
      </c>
      <c r="HB76" s="4" t="s">
        <v>1</v>
      </c>
      <c r="HC76" t="s">
        <v>1</v>
      </c>
      <c r="HD76" t="s">
        <v>1</v>
      </c>
      <c r="HE76" t="s">
        <v>1</v>
      </c>
      <c r="HF76" s="5" t="s">
        <v>1063</v>
      </c>
      <c r="HG76" s="4">
        <v>1.4000000000000001</v>
      </c>
      <c r="HH76">
        <v>0</v>
      </c>
      <c r="HI76">
        <v>30</v>
      </c>
      <c r="HJ76" s="26" t="s">
        <v>1358</v>
      </c>
      <c r="HK76" t="s">
        <v>815</v>
      </c>
      <c r="HL76" s="34">
        <v>1.5049999999999999</v>
      </c>
      <c r="HM76">
        <v>0</v>
      </c>
      <c r="HN76">
        <v>30</v>
      </c>
      <c r="HO76" t="s">
        <v>1</v>
      </c>
      <c r="HP76" s="26" t="s">
        <v>1358</v>
      </c>
      <c r="HZ76" t="s">
        <v>1295</v>
      </c>
      <c r="IA76">
        <v>150</v>
      </c>
      <c r="IB76" s="10" t="s">
        <v>819</v>
      </c>
      <c r="IC76" s="10"/>
      <c r="ID76" s="10"/>
      <c r="IE76" s="10" t="s">
        <v>1</v>
      </c>
      <c r="IF76" s="10" t="s">
        <v>1</v>
      </c>
      <c r="IG76" s="10"/>
      <c r="IH76" s="10"/>
      <c r="II76" s="10"/>
      <c r="IJ76" s="10"/>
      <c r="IK76" s="10"/>
      <c r="IL76" s="10"/>
      <c r="IM76" s="10"/>
      <c r="IN76" s="10"/>
      <c r="IO76" s="10"/>
      <c r="IP76" s="10"/>
      <c r="IQ76" s="10"/>
      <c r="IR76" s="10"/>
      <c r="IS76" t="s">
        <v>1</v>
      </c>
      <c r="IT76" t="s">
        <v>1</v>
      </c>
      <c r="IW76" t="s">
        <v>1</v>
      </c>
      <c r="IX76" t="s">
        <v>1</v>
      </c>
      <c r="IY76" t="s">
        <v>808</v>
      </c>
      <c r="IZ76">
        <v>762</v>
      </c>
      <c r="JA76" t="s">
        <v>1</v>
      </c>
      <c r="JB76" s="3" t="s">
        <v>1</v>
      </c>
      <c r="JC76" t="s">
        <v>965</v>
      </c>
      <c r="JD76" s="4">
        <v>3</v>
      </c>
      <c r="JE76" t="s">
        <v>1</v>
      </c>
      <c r="JF76" t="s">
        <v>1</v>
      </c>
      <c r="JR76" t="s">
        <v>1066</v>
      </c>
      <c r="JS76">
        <v>237.7</v>
      </c>
      <c r="JU76">
        <v>5.67</v>
      </c>
      <c r="JW76" t="s">
        <v>842</v>
      </c>
      <c r="JX76">
        <v>0</v>
      </c>
      <c r="JY76">
        <v>60</v>
      </c>
      <c r="JZ76" t="s">
        <v>796</v>
      </c>
      <c r="KA76" t="s">
        <v>78</v>
      </c>
      <c r="KB76" t="s">
        <v>738</v>
      </c>
      <c r="KC76" t="s">
        <v>1</v>
      </c>
      <c r="KD76" t="s">
        <v>1</v>
      </c>
      <c r="KE76" t="s">
        <v>1</v>
      </c>
      <c r="KF76" t="s">
        <v>1</v>
      </c>
      <c r="KG76" t="s">
        <v>1</v>
      </c>
      <c r="KH76" t="s">
        <v>1</v>
      </c>
      <c r="KI76" t="s">
        <v>1</v>
      </c>
      <c r="KJ76" t="s">
        <v>1</v>
      </c>
      <c r="KK76" t="s">
        <v>1</v>
      </c>
    </row>
    <row r="77" spans="1:297" x14ac:dyDescent="0.2">
      <c r="A77">
        <v>76</v>
      </c>
      <c r="B77" t="s">
        <v>705</v>
      </c>
      <c r="C77" t="s">
        <v>79</v>
      </c>
      <c r="D77" t="s">
        <v>77</v>
      </c>
      <c r="E77">
        <v>8</v>
      </c>
      <c r="F77" t="s">
        <v>750</v>
      </c>
      <c r="G77" t="s">
        <v>77</v>
      </c>
      <c r="H77" s="26" t="s">
        <v>1420</v>
      </c>
      <c r="I77" t="s">
        <v>751</v>
      </c>
      <c r="J77">
        <v>2015</v>
      </c>
      <c r="K77" t="s">
        <v>1</v>
      </c>
      <c r="L77" t="s">
        <v>1</v>
      </c>
      <c r="M77">
        <v>127</v>
      </c>
      <c r="N77" t="s">
        <v>1</v>
      </c>
      <c r="O77" t="s">
        <v>1301</v>
      </c>
      <c r="P77">
        <v>3</v>
      </c>
      <c r="Q77" t="s">
        <v>752</v>
      </c>
      <c r="R77" t="s">
        <v>753</v>
      </c>
      <c r="S77" t="b">
        <v>0</v>
      </c>
      <c r="T77" t="s">
        <v>1</v>
      </c>
      <c r="U77" t="s">
        <v>1</v>
      </c>
      <c r="V77" t="s">
        <v>1</v>
      </c>
      <c r="W77" t="s">
        <v>1</v>
      </c>
      <c r="X77" t="s">
        <v>1</v>
      </c>
      <c r="Y77" t="s">
        <v>1</v>
      </c>
      <c r="Z77" t="s">
        <v>1</v>
      </c>
      <c r="AA77" t="s">
        <v>1</v>
      </c>
      <c r="AB77" t="s">
        <v>1</v>
      </c>
      <c r="AC77" t="s">
        <v>1</v>
      </c>
      <c r="AD77" t="s">
        <v>1</v>
      </c>
      <c r="AE77" t="s">
        <v>1</v>
      </c>
      <c r="AF77" t="s">
        <v>1</v>
      </c>
      <c r="AG77" t="s">
        <v>1</v>
      </c>
      <c r="AH77" t="s">
        <v>1</v>
      </c>
      <c r="AI77" t="s">
        <v>1</v>
      </c>
      <c r="AJ77" t="s">
        <v>1</v>
      </c>
      <c r="AK77" t="s">
        <v>1</v>
      </c>
      <c r="AL77" t="s">
        <v>1</v>
      </c>
      <c r="AM77" t="s">
        <v>1</v>
      </c>
      <c r="AN77">
        <v>76</v>
      </c>
      <c r="AO77">
        <f t="shared" si="7"/>
        <v>76</v>
      </c>
      <c r="AP77">
        <f t="shared" si="5"/>
        <v>8</v>
      </c>
      <c r="AQ77">
        <f t="shared" si="6"/>
        <v>8</v>
      </c>
      <c r="AR77" s="26" t="s">
        <v>1355</v>
      </c>
      <c r="AS77" s="26" t="s">
        <v>1356</v>
      </c>
      <c r="AT77" t="s">
        <v>712</v>
      </c>
      <c r="AU77" t="s">
        <v>1</v>
      </c>
      <c r="AV77" t="s">
        <v>1</v>
      </c>
      <c r="AW77">
        <v>45.15</v>
      </c>
      <c r="AX77">
        <v>-64.42</v>
      </c>
      <c r="AY77" t="s">
        <v>737</v>
      </c>
      <c r="BA77" s="3">
        <v>3</v>
      </c>
      <c r="BB77" s="3"/>
      <c r="BC77" s="3"/>
      <c r="BD77" s="3"/>
      <c r="BE77" s="3"/>
      <c r="BF77">
        <v>2012</v>
      </c>
      <c r="BG77" s="24" t="s">
        <v>733</v>
      </c>
      <c r="BH77" s="24" t="s">
        <v>733</v>
      </c>
      <c r="BI77" s="24" t="s">
        <v>733</v>
      </c>
      <c r="BJ77" s="24" t="s">
        <v>732</v>
      </c>
      <c r="BK77" s="24" t="s">
        <v>733</v>
      </c>
      <c r="BL77" s="25" t="s">
        <v>733</v>
      </c>
      <c r="BM77" s="24" t="s">
        <v>733</v>
      </c>
      <c r="BN77" s="24" t="s">
        <v>732</v>
      </c>
      <c r="BO77" s="24" t="s">
        <v>733</v>
      </c>
      <c r="BP77" s="24" t="s">
        <v>733</v>
      </c>
      <c r="BQ77" s="24" t="s">
        <v>945</v>
      </c>
      <c r="BR77" s="24" t="s">
        <v>945</v>
      </c>
      <c r="BS77" s="25" t="s">
        <v>934</v>
      </c>
      <c r="BT77" s="24" t="s">
        <v>934</v>
      </c>
      <c r="BU77" s="24" t="s">
        <v>934</v>
      </c>
      <c r="BV77" s="24" t="s">
        <v>934</v>
      </c>
      <c r="BW77" s="24" t="s">
        <v>934</v>
      </c>
      <c r="BX77" s="24" t="s">
        <v>934</v>
      </c>
      <c r="BY77" s="25" t="s">
        <v>945</v>
      </c>
      <c r="BZ77" t="s">
        <v>1413</v>
      </c>
      <c r="CB77" t="s">
        <v>1</v>
      </c>
      <c r="CC77" s="4">
        <f>2.39*1000</f>
        <v>2390</v>
      </c>
      <c r="CD77" s="4"/>
      <c r="CE77" s="4"/>
      <c r="CF77" t="s">
        <v>793</v>
      </c>
      <c r="CG77">
        <v>100</v>
      </c>
      <c r="CH77" t="s">
        <v>805</v>
      </c>
      <c r="CI77" s="1">
        <v>0.4</v>
      </c>
      <c r="CJ77" s="10" t="s">
        <v>1442</v>
      </c>
      <c r="CK77" s="9" t="s">
        <v>1</v>
      </c>
      <c r="CL77" s="4" t="s">
        <v>1</v>
      </c>
      <c r="CM77" t="s">
        <v>847</v>
      </c>
      <c r="CN77" s="4">
        <v>89</v>
      </c>
      <c r="CO77" s="4"/>
      <c r="CP77" s="4" t="s">
        <v>1</v>
      </c>
      <c r="CQ77" s="4" t="s">
        <v>1</v>
      </c>
      <c r="CR77" s="4" t="s">
        <v>1</v>
      </c>
      <c r="CS77" s="4" t="s">
        <v>1</v>
      </c>
      <c r="CT77" s="4" t="s">
        <v>1</v>
      </c>
      <c r="CU77" s="4" t="s">
        <v>1</v>
      </c>
      <c r="CV77" t="s">
        <v>855</v>
      </c>
      <c r="CW77">
        <v>100</v>
      </c>
      <c r="CX77">
        <v>0</v>
      </c>
      <c r="CY77">
        <v>30</v>
      </c>
      <c r="CZ77" s="26" t="s">
        <v>1358</v>
      </c>
      <c r="DA77" t="s">
        <v>734</v>
      </c>
      <c r="DB77">
        <v>69.5</v>
      </c>
      <c r="DC77">
        <v>0</v>
      </c>
      <c r="DD77">
        <v>30</v>
      </c>
      <c r="DE77" s="26" t="s">
        <v>1358</v>
      </c>
      <c r="DF77" t="s">
        <v>735</v>
      </c>
      <c r="DG77">
        <v>15.5</v>
      </c>
      <c r="DH77">
        <v>0</v>
      </c>
      <c r="DI77">
        <v>30</v>
      </c>
      <c r="DJ77" s="26" t="s">
        <v>1358</v>
      </c>
      <c r="DK77" t="s">
        <v>736</v>
      </c>
      <c r="DL77">
        <v>15</v>
      </c>
      <c r="DM77">
        <v>0</v>
      </c>
      <c r="DN77">
        <v>30</v>
      </c>
      <c r="DO77" s="26" t="s">
        <v>1358</v>
      </c>
      <c r="DP77" t="s">
        <v>6</v>
      </c>
      <c r="DQ77" t="s">
        <v>813</v>
      </c>
      <c r="DR77">
        <v>6.3</v>
      </c>
      <c r="DS77">
        <v>0</v>
      </c>
      <c r="DT77">
        <v>30</v>
      </c>
      <c r="DU77" s="26" t="s">
        <v>1358</v>
      </c>
      <c r="EA77" t="s">
        <v>982</v>
      </c>
      <c r="EB77">
        <v>15.700000000000001</v>
      </c>
      <c r="EC77">
        <v>0</v>
      </c>
      <c r="ED77">
        <v>30</v>
      </c>
      <c r="EE77" s="26" t="s">
        <v>1358</v>
      </c>
      <c r="EF77" s="26"/>
      <c r="FZ77" t="s">
        <v>806</v>
      </c>
      <c r="GA77">
        <v>832</v>
      </c>
      <c r="GE77" s="26" t="s">
        <v>1358</v>
      </c>
      <c r="HA77" s="5" t="s">
        <v>1</v>
      </c>
      <c r="HB77" s="4" t="s">
        <v>1</v>
      </c>
      <c r="HC77" t="s">
        <v>1</v>
      </c>
      <c r="HD77" t="s">
        <v>1</v>
      </c>
      <c r="HE77" t="s">
        <v>1</v>
      </c>
      <c r="HF77" s="5" t="s">
        <v>1063</v>
      </c>
      <c r="HG77" s="4">
        <v>1.4000000000000001</v>
      </c>
      <c r="HH77">
        <v>0</v>
      </c>
      <c r="HI77">
        <v>30</v>
      </c>
      <c r="HJ77" s="26" t="s">
        <v>1358</v>
      </c>
      <c r="HK77" t="s">
        <v>815</v>
      </c>
      <c r="HL77" s="34">
        <v>1.5049999999999999</v>
      </c>
      <c r="HM77">
        <v>0</v>
      </c>
      <c r="HN77">
        <v>30</v>
      </c>
      <c r="HO77" t="s">
        <v>1</v>
      </c>
      <c r="HP77" s="26" t="s">
        <v>1358</v>
      </c>
      <c r="HZ77" t="s">
        <v>1295</v>
      </c>
      <c r="IA77">
        <v>120</v>
      </c>
      <c r="IB77" s="10" t="s">
        <v>819</v>
      </c>
      <c r="IC77" s="10"/>
      <c r="ID77" s="10"/>
      <c r="IE77" s="10" t="s">
        <v>1</v>
      </c>
      <c r="IF77" s="10" t="s">
        <v>1</v>
      </c>
      <c r="IG77" s="10"/>
      <c r="IH77" s="10"/>
      <c r="II77" s="10"/>
      <c r="IJ77" s="10"/>
      <c r="IK77" s="10"/>
      <c r="IL77" s="10"/>
      <c r="IM77" s="10"/>
      <c r="IN77" s="10"/>
      <c r="IO77" s="10"/>
      <c r="IP77" s="10"/>
      <c r="IQ77" s="10"/>
      <c r="IR77" s="10"/>
      <c r="IS77" t="s">
        <v>1</v>
      </c>
      <c r="IT77" t="s">
        <v>1</v>
      </c>
      <c r="IW77" t="s">
        <v>1</v>
      </c>
      <c r="IX77" t="s">
        <v>1</v>
      </c>
      <c r="IY77" t="s">
        <v>808</v>
      </c>
      <c r="IZ77">
        <v>762</v>
      </c>
      <c r="JA77" t="s">
        <v>1</v>
      </c>
      <c r="JB77" s="3" t="s">
        <v>1</v>
      </c>
      <c r="JC77" t="s">
        <v>965</v>
      </c>
      <c r="JD77" s="4">
        <v>3</v>
      </c>
      <c r="JE77" t="s">
        <v>1</v>
      </c>
      <c r="JF77" t="s">
        <v>1</v>
      </c>
      <c r="JR77" t="s">
        <v>1066</v>
      </c>
      <c r="JS77">
        <v>100.5</v>
      </c>
      <c r="JU77">
        <v>10.1</v>
      </c>
      <c r="JW77" t="s">
        <v>842</v>
      </c>
      <c r="JX77">
        <v>0</v>
      </c>
      <c r="JY77">
        <v>60</v>
      </c>
      <c r="JZ77" t="s">
        <v>796</v>
      </c>
      <c r="KA77" t="s">
        <v>78</v>
      </c>
      <c r="KB77" t="s">
        <v>738</v>
      </c>
      <c r="KC77" t="s">
        <v>1</v>
      </c>
      <c r="KD77" t="s">
        <v>1</v>
      </c>
      <c r="KE77" t="s">
        <v>1</v>
      </c>
      <c r="KF77" t="s">
        <v>1</v>
      </c>
      <c r="KG77" t="s">
        <v>1</v>
      </c>
      <c r="KH77" t="s">
        <v>1</v>
      </c>
      <c r="KI77" t="s">
        <v>1</v>
      </c>
      <c r="KJ77" t="s">
        <v>1</v>
      </c>
      <c r="KK77" t="s">
        <v>1</v>
      </c>
    </row>
    <row r="78" spans="1:297" x14ac:dyDescent="0.2">
      <c r="A78">
        <v>77</v>
      </c>
      <c r="B78" t="s">
        <v>705</v>
      </c>
      <c r="C78" t="s">
        <v>80</v>
      </c>
      <c r="D78" t="s">
        <v>77</v>
      </c>
      <c r="E78">
        <v>8</v>
      </c>
      <c r="F78" t="s">
        <v>750</v>
      </c>
      <c r="G78" t="s">
        <v>77</v>
      </c>
      <c r="H78" s="26" t="s">
        <v>1420</v>
      </c>
      <c r="I78" t="s">
        <v>751</v>
      </c>
      <c r="J78">
        <v>2015</v>
      </c>
      <c r="K78" t="s">
        <v>1</v>
      </c>
      <c r="L78" t="s">
        <v>1</v>
      </c>
      <c r="M78">
        <v>127</v>
      </c>
      <c r="N78" t="s">
        <v>1</v>
      </c>
      <c r="O78" t="s">
        <v>1301</v>
      </c>
      <c r="P78">
        <v>3</v>
      </c>
      <c r="Q78" t="s">
        <v>752</v>
      </c>
      <c r="R78" t="s">
        <v>753</v>
      </c>
      <c r="S78" t="b">
        <v>0</v>
      </c>
      <c r="T78" t="s">
        <v>1</v>
      </c>
      <c r="U78" t="s">
        <v>1</v>
      </c>
      <c r="V78" t="s">
        <v>1</v>
      </c>
      <c r="W78" t="s">
        <v>1</v>
      </c>
      <c r="X78" t="s">
        <v>1</v>
      </c>
      <c r="Y78" t="s">
        <v>1</v>
      </c>
      <c r="Z78" t="s">
        <v>1</v>
      </c>
      <c r="AA78" t="s">
        <v>1</v>
      </c>
      <c r="AB78" t="s">
        <v>1</v>
      </c>
      <c r="AC78" t="s">
        <v>1</v>
      </c>
      <c r="AD78" t="s">
        <v>1</v>
      </c>
      <c r="AE78" t="s">
        <v>1</v>
      </c>
      <c r="AF78" t="s">
        <v>1</v>
      </c>
      <c r="AG78" t="s">
        <v>1</v>
      </c>
      <c r="AH78" t="s">
        <v>1</v>
      </c>
      <c r="AI78" t="s">
        <v>1</v>
      </c>
      <c r="AJ78" t="s">
        <v>1</v>
      </c>
      <c r="AK78" t="s">
        <v>1</v>
      </c>
      <c r="AL78" t="s">
        <v>1</v>
      </c>
      <c r="AM78" t="s">
        <v>1</v>
      </c>
      <c r="AN78">
        <v>77</v>
      </c>
      <c r="AO78">
        <f t="shared" si="7"/>
        <v>77</v>
      </c>
      <c r="AP78">
        <f t="shared" si="5"/>
        <v>8</v>
      </c>
      <c r="AQ78">
        <f t="shared" si="6"/>
        <v>8</v>
      </c>
      <c r="AR78" s="26" t="s">
        <v>1355</v>
      </c>
      <c r="AS78" s="26" t="s">
        <v>1356</v>
      </c>
      <c r="AT78" t="s">
        <v>712</v>
      </c>
      <c r="AU78" t="s">
        <v>1</v>
      </c>
      <c r="AV78" t="s">
        <v>1</v>
      </c>
      <c r="AW78">
        <v>45.15</v>
      </c>
      <c r="AX78">
        <v>-64.42</v>
      </c>
      <c r="AY78" t="s">
        <v>737</v>
      </c>
      <c r="BA78" s="3">
        <v>3</v>
      </c>
      <c r="BB78" s="3"/>
      <c r="BC78" s="3"/>
      <c r="BD78" s="3"/>
      <c r="BE78" s="3"/>
      <c r="BF78">
        <v>2012</v>
      </c>
      <c r="BG78" s="24" t="s">
        <v>733</v>
      </c>
      <c r="BH78" s="24" t="s">
        <v>733</v>
      </c>
      <c r="BI78" s="24" t="s">
        <v>733</v>
      </c>
      <c r="BJ78" s="24" t="s">
        <v>732</v>
      </c>
      <c r="BK78" s="24" t="s">
        <v>733</v>
      </c>
      <c r="BL78" s="25" t="s">
        <v>733</v>
      </c>
      <c r="BM78" s="24" t="s">
        <v>733</v>
      </c>
      <c r="BN78" s="24" t="s">
        <v>732</v>
      </c>
      <c r="BO78" s="24" t="s">
        <v>733</v>
      </c>
      <c r="BP78" s="24" t="s">
        <v>733</v>
      </c>
      <c r="BQ78" s="24" t="s">
        <v>945</v>
      </c>
      <c r="BR78" s="24" t="s">
        <v>945</v>
      </c>
      <c r="BS78" s="25" t="s">
        <v>934</v>
      </c>
      <c r="BT78" s="24" t="s">
        <v>934</v>
      </c>
      <c r="BU78" s="24" t="s">
        <v>934</v>
      </c>
      <c r="BV78" s="24" t="s">
        <v>934</v>
      </c>
      <c r="BW78" s="24" t="s">
        <v>934</v>
      </c>
      <c r="BX78" s="24" t="s">
        <v>934</v>
      </c>
      <c r="BY78" s="25" t="s">
        <v>945</v>
      </c>
      <c r="BZ78" t="s">
        <v>1413</v>
      </c>
      <c r="CB78" t="s">
        <v>1</v>
      </c>
      <c r="CC78" s="4">
        <f>2.33*1000</f>
        <v>2330</v>
      </c>
      <c r="CD78" s="4"/>
      <c r="CE78" s="4"/>
      <c r="CF78" t="s">
        <v>793</v>
      </c>
      <c r="CG78">
        <v>100</v>
      </c>
      <c r="CH78" t="s">
        <v>805</v>
      </c>
      <c r="CI78" s="1">
        <v>0.4</v>
      </c>
      <c r="CJ78" s="10" t="s">
        <v>1442</v>
      </c>
      <c r="CK78" s="9" t="s">
        <v>1</v>
      </c>
      <c r="CL78" s="4" t="s">
        <v>1</v>
      </c>
      <c r="CM78" t="s">
        <v>847</v>
      </c>
      <c r="CN78" s="4">
        <v>93</v>
      </c>
      <c r="CO78" s="4"/>
      <c r="CP78" s="4" t="s">
        <v>1</v>
      </c>
      <c r="CQ78" s="4" t="s">
        <v>1</v>
      </c>
      <c r="CR78" s="4" t="s">
        <v>1</v>
      </c>
      <c r="CS78" s="4" t="s">
        <v>1</v>
      </c>
      <c r="CT78" s="4" t="s">
        <v>1</v>
      </c>
      <c r="CU78" s="4" t="s">
        <v>1</v>
      </c>
      <c r="CV78" t="s">
        <v>855</v>
      </c>
      <c r="CW78">
        <v>100</v>
      </c>
      <c r="CX78">
        <v>0</v>
      </c>
      <c r="CY78">
        <v>30</v>
      </c>
      <c r="CZ78" s="26" t="s">
        <v>1358</v>
      </c>
      <c r="DA78" t="s">
        <v>734</v>
      </c>
      <c r="DB78">
        <v>69.5</v>
      </c>
      <c r="DC78">
        <v>0</v>
      </c>
      <c r="DD78">
        <v>30</v>
      </c>
      <c r="DE78" s="26" t="s">
        <v>1358</v>
      </c>
      <c r="DF78" t="s">
        <v>735</v>
      </c>
      <c r="DG78">
        <v>15.5</v>
      </c>
      <c r="DH78">
        <v>0</v>
      </c>
      <c r="DI78">
        <v>30</v>
      </c>
      <c r="DJ78" s="26" t="s">
        <v>1358</v>
      </c>
      <c r="DK78" t="s">
        <v>736</v>
      </c>
      <c r="DL78">
        <v>15</v>
      </c>
      <c r="DM78">
        <v>0</v>
      </c>
      <c r="DN78">
        <v>30</v>
      </c>
      <c r="DO78" s="26" t="s">
        <v>1358</v>
      </c>
      <c r="DP78" t="s">
        <v>6</v>
      </c>
      <c r="DQ78" t="s">
        <v>813</v>
      </c>
      <c r="DR78">
        <v>6.3</v>
      </c>
      <c r="DS78">
        <v>0</v>
      </c>
      <c r="DT78">
        <v>30</v>
      </c>
      <c r="DU78" s="26" t="s">
        <v>1358</v>
      </c>
      <c r="EA78" t="s">
        <v>982</v>
      </c>
      <c r="EB78">
        <v>15.700000000000001</v>
      </c>
      <c r="EC78">
        <v>0</v>
      </c>
      <c r="ED78">
        <v>30</v>
      </c>
      <c r="EE78" s="26" t="s">
        <v>1358</v>
      </c>
      <c r="EF78" s="26"/>
      <c r="FZ78" t="s">
        <v>806</v>
      </c>
      <c r="GA78">
        <v>832</v>
      </c>
      <c r="GE78" s="26" t="s">
        <v>1358</v>
      </c>
      <c r="HA78" s="5" t="s">
        <v>1</v>
      </c>
      <c r="HB78" s="4" t="s">
        <v>1</v>
      </c>
      <c r="HC78" t="s">
        <v>1</v>
      </c>
      <c r="HD78" t="s">
        <v>1</v>
      </c>
      <c r="HE78" t="s">
        <v>1</v>
      </c>
      <c r="HF78" s="5" t="s">
        <v>1063</v>
      </c>
      <c r="HG78" s="4">
        <v>1.4000000000000001</v>
      </c>
      <c r="HH78">
        <v>0</v>
      </c>
      <c r="HI78">
        <v>30</v>
      </c>
      <c r="HJ78" s="26" t="s">
        <v>1358</v>
      </c>
      <c r="HK78" t="s">
        <v>815</v>
      </c>
      <c r="HL78" s="34">
        <v>1.5049999999999999</v>
      </c>
      <c r="HM78">
        <v>0</v>
      </c>
      <c r="HN78">
        <v>30</v>
      </c>
      <c r="HO78" t="s">
        <v>1</v>
      </c>
      <c r="HP78" s="26" t="s">
        <v>1358</v>
      </c>
      <c r="HZ78" t="s">
        <v>1295</v>
      </c>
      <c r="IA78">
        <v>150</v>
      </c>
      <c r="IB78" s="10" t="s">
        <v>819</v>
      </c>
      <c r="IC78" s="10"/>
      <c r="ID78" s="10"/>
      <c r="IE78" s="10" t="s">
        <v>1</v>
      </c>
      <c r="IF78" s="10" t="s">
        <v>1</v>
      </c>
      <c r="IG78" s="10"/>
      <c r="IH78" s="10"/>
      <c r="II78" s="10"/>
      <c r="IJ78" s="10"/>
      <c r="IK78" s="10"/>
      <c r="IL78" s="10"/>
      <c r="IM78" s="10"/>
      <c r="IN78" s="10"/>
      <c r="IO78" s="10"/>
      <c r="IP78" s="10"/>
      <c r="IQ78" s="10"/>
      <c r="IR78" s="10"/>
      <c r="IS78" t="s">
        <v>1</v>
      </c>
      <c r="IT78" t="s">
        <v>1</v>
      </c>
      <c r="IW78" t="s">
        <v>1</v>
      </c>
      <c r="IX78" t="s">
        <v>1</v>
      </c>
      <c r="IY78" t="s">
        <v>808</v>
      </c>
      <c r="IZ78">
        <v>762</v>
      </c>
      <c r="JA78" t="s">
        <v>1</v>
      </c>
      <c r="JB78" s="3" t="s">
        <v>1</v>
      </c>
      <c r="JC78" t="s">
        <v>965</v>
      </c>
      <c r="JD78" s="4">
        <v>3</v>
      </c>
      <c r="JE78" t="s">
        <v>1</v>
      </c>
      <c r="JF78" t="s">
        <v>1</v>
      </c>
      <c r="JR78" t="s">
        <v>1066</v>
      </c>
      <c r="JS78">
        <v>106.7</v>
      </c>
      <c r="JU78">
        <v>16.2</v>
      </c>
      <c r="JW78" t="s">
        <v>842</v>
      </c>
      <c r="JX78">
        <v>0</v>
      </c>
      <c r="JY78">
        <v>60</v>
      </c>
      <c r="JZ78" t="s">
        <v>796</v>
      </c>
      <c r="KA78" t="s">
        <v>78</v>
      </c>
      <c r="KB78" t="s">
        <v>738</v>
      </c>
      <c r="KC78" t="s">
        <v>1</v>
      </c>
      <c r="KD78" t="s">
        <v>1</v>
      </c>
      <c r="KE78" t="s">
        <v>1</v>
      </c>
      <c r="KF78" t="s">
        <v>1</v>
      </c>
      <c r="KG78" t="s">
        <v>1</v>
      </c>
      <c r="KH78" t="s">
        <v>1</v>
      </c>
      <c r="KI78" t="s">
        <v>1</v>
      </c>
      <c r="KJ78" t="s">
        <v>1</v>
      </c>
      <c r="KK78" t="s">
        <v>1</v>
      </c>
    </row>
    <row r="79" spans="1:297" x14ac:dyDescent="0.2">
      <c r="A79">
        <v>78</v>
      </c>
      <c r="B79" t="s">
        <v>705</v>
      </c>
      <c r="C79" t="s">
        <v>83</v>
      </c>
      <c r="D79" t="s">
        <v>81</v>
      </c>
      <c r="E79">
        <v>9</v>
      </c>
      <c r="F79" t="s">
        <v>82</v>
      </c>
      <c r="G79" t="s">
        <v>1</v>
      </c>
      <c r="H79" s="26" t="s">
        <v>1420</v>
      </c>
      <c r="I79" t="s">
        <v>1</v>
      </c>
      <c r="J79" t="s">
        <v>1</v>
      </c>
      <c r="K79" t="s">
        <v>1</v>
      </c>
      <c r="L79" t="s">
        <v>1</v>
      </c>
      <c r="M79" t="s">
        <v>1</v>
      </c>
      <c r="N79" t="s">
        <v>1</v>
      </c>
      <c r="O79" t="s">
        <v>1</v>
      </c>
      <c r="P79" t="s">
        <v>1</v>
      </c>
      <c r="Q79" t="s">
        <v>1</v>
      </c>
      <c r="R79" t="s">
        <v>1</v>
      </c>
      <c r="S79" t="s">
        <v>1</v>
      </c>
      <c r="T79" t="s">
        <v>1</v>
      </c>
      <c r="U79" t="s">
        <v>1</v>
      </c>
      <c r="V79" t="s">
        <v>1</v>
      </c>
      <c r="W79" t="s">
        <v>1</v>
      </c>
      <c r="X79" t="s">
        <v>1</v>
      </c>
      <c r="Y79" t="s">
        <v>1</v>
      </c>
      <c r="Z79" t="s">
        <v>1</v>
      </c>
      <c r="AA79" t="s">
        <v>1</v>
      </c>
      <c r="AB79" t="s">
        <v>1</v>
      </c>
      <c r="AC79" t="s">
        <v>1</v>
      </c>
      <c r="AD79" t="s">
        <v>1</v>
      </c>
      <c r="AE79" t="s">
        <v>1</v>
      </c>
      <c r="AF79" t="s">
        <v>1</v>
      </c>
      <c r="AG79" t="s">
        <v>1</v>
      </c>
      <c r="AH79" t="s">
        <v>1</v>
      </c>
      <c r="AI79" t="s">
        <v>1</v>
      </c>
      <c r="AJ79" t="s">
        <v>1</v>
      </c>
      <c r="AK79" t="s">
        <v>1</v>
      </c>
      <c r="AL79" t="s">
        <v>1</v>
      </c>
      <c r="AM79" t="s">
        <v>1</v>
      </c>
      <c r="AN79">
        <v>78</v>
      </c>
      <c r="AO79">
        <f t="shared" si="7"/>
        <v>78</v>
      </c>
      <c r="AP79">
        <f t="shared" si="5"/>
        <v>9</v>
      </c>
      <c r="AQ79">
        <f t="shared" si="6"/>
        <v>9</v>
      </c>
      <c r="AR79" s="26" t="s">
        <v>1355</v>
      </c>
      <c r="AS79" s="26" t="s">
        <v>1356</v>
      </c>
      <c r="AT79" t="s">
        <v>710</v>
      </c>
      <c r="AU79" t="s">
        <v>1</v>
      </c>
      <c r="AV79" t="s">
        <v>1</v>
      </c>
      <c r="AW79">
        <v>28.26</v>
      </c>
      <c r="AX79">
        <v>116.93</v>
      </c>
      <c r="AY79" t="s">
        <v>737</v>
      </c>
      <c r="BA79" s="3">
        <v>3</v>
      </c>
      <c r="BB79" s="3"/>
      <c r="BC79" s="3"/>
      <c r="BD79" s="3"/>
      <c r="BE79" s="3"/>
      <c r="BF79">
        <v>1997</v>
      </c>
      <c r="BG79" s="24" t="s">
        <v>733</v>
      </c>
      <c r="BH79" s="24" t="s">
        <v>733</v>
      </c>
      <c r="BI79" s="24" t="s">
        <v>733</v>
      </c>
      <c r="BJ79" s="24" t="s">
        <v>732</v>
      </c>
      <c r="BK79" s="24" t="s">
        <v>733</v>
      </c>
      <c r="BL79" s="25" t="s">
        <v>733</v>
      </c>
      <c r="BM79" s="24" t="s">
        <v>733</v>
      </c>
      <c r="BN79" s="24" t="s">
        <v>732</v>
      </c>
      <c r="BO79" s="24" t="s">
        <v>733</v>
      </c>
      <c r="BP79" s="24" t="s">
        <v>733</v>
      </c>
      <c r="BQ79" s="24" t="s">
        <v>945</v>
      </c>
      <c r="BR79" s="24" t="s">
        <v>945</v>
      </c>
      <c r="BS79" s="25" t="s">
        <v>934</v>
      </c>
      <c r="BT79" s="24" t="s">
        <v>934</v>
      </c>
      <c r="BU79" s="24" t="s">
        <v>934</v>
      </c>
      <c r="BV79" s="24" t="s">
        <v>934</v>
      </c>
      <c r="BW79" s="24" t="s">
        <v>934</v>
      </c>
      <c r="BX79" s="24" t="s">
        <v>934</v>
      </c>
      <c r="BY79" s="25" t="s">
        <v>945</v>
      </c>
      <c r="BZ79" t="s">
        <v>1397</v>
      </c>
      <c r="CB79" t="s">
        <v>1392</v>
      </c>
      <c r="CC79" s="4" t="s">
        <v>1</v>
      </c>
      <c r="CD79" s="4"/>
      <c r="CE79" s="4"/>
      <c r="CF79" t="s">
        <v>1</v>
      </c>
      <c r="CG79" t="s">
        <v>1</v>
      </c>
      <c r="CH79" t="s">
        <v>805</v>
      </c>
      <c r="CI79" s="1">
        <f>AVERAGE(1,1.5)</f>
        <v>1.25</v>
      </c>
      <c r="CJ79" s="10" t="s">
        <v>1442</v>
      </c>
      <c r="CK79" s="9" t="s">
        <v>1</v>
      </c>
      <c r="CL79" s="4" t="s">
        <v>1</v>
      </c>
      <c r="CM79" t="s">
        <v>847</v>
      </c>
      <c r="CN79" s="15">
        <f>8.4+11.4</f>
        <v>19.8</v>
      </c>
      <c r="CO79" s="15"/>
      <c r="CP79" s="4" t="s">
        <v>1</v>
      </c>
      <c r="CQ79" s="4" t="s">
        <v>1</v>
      </c>
      <c r="CR79" s="4" t="s">
        <v>1</v>
      </c>
      <c r="CS79" s="4" t="s">
        <v>1</v>
      </c>
      <c r="CT79" s="4" t="s">
        <v>1</v>
      </c>
      <c r="CU79" s="4" t="s">
        <v>1</v>
      </c>
      <c r="CV79" t="s">
        <v>1</v>
      </c>
      <c r="CW79" t="s">
        <v>1</v>
      </c>
      <c r="CX79" t="s">
        <v>1</v>
      </c>
      <c r="CY79" t="s">
        <v>1</v>
      </c>
      <c r="CZ79" t="s">
        <v>1</v>
      </c>
      <c r="DA79" t="s">
        <v>734</v>
      </c>
      <c r="DB79">
        <v>17.7</v>
      </c>
      <c r="DC79">
        <v>0</v>
      </c>
      <c r="DD79">
        <v>30</v>
      </c>
      <c r="DE79" s="26" t="s">
        <v>1358</v>
      </c>
      <c r="DF79" t="s">
        <v>735</v>
      </c>
      <c r="DG79">
        <v>35.5</v>
      </c>
      <c r="DH79">
        <v>0</v>
      </c>
      <c r="DI79">
        <v>30</v>
      </c>
      <c r="DJ79" s="26" t="s">
        <v>1358</v>
      </c>
      <c r="DK79" t="s">
        <v>736</v>
      </c>
      <c r="DL79">
        <v>46.8</v>
      </c>
      <c r="DM79">
        <v>0</v>
      </c>
      <c r="DN79">
        <v>30</v>
      </c>
      <c r="DO79" s="26" t="s">
        <v>1358</v>
      </c>
      <c r="DP79" t="s">
        <v>6</v>
      </c>
      <c r="DQ79" t="s">
        <v>813</v>
      </c>
      <c r="DR79">
        <v>4.9000000000000004</v>
      </c>
      <c r="DS79">
        <v>0</v>
      </c>
      <c r="DT79">
        <v>30</v>
      </c>
      <c r="DU79" s="26" t="s">
        <v>1358</v>
      </c>
      <c r="EA79" t="s">
        <v>982</v>
      </c>
      <c r="EB79">
        <v>3.8</v>
      </c>
      <c r="EC79">
        <v>0</v>
      </c>
      <c r="ED79">
        <v>30</v>
      </c>
      <c r="EE79" s="26" t="s">
        <v>1358</v>
      </c>
      <c r="EF79" s="26"/>
      <c r="FZ79" t="s">
        <v>806</v>
      </c>
      <c r="GA79">
        <v>1919.333333</v>
      </c>
      <c r="GE79" s="26" t="s">
        <v>1358</v>
      </c>
      <c r="HA79" s="5" t="s">
        <v>1069</v>
      </c>
      <c r="HB79" s="4">
        <v>10.75</v>
      </c>
      <c r="HC79">
        <v>0</v>
      </c>
      <c r="HD79">
        <v>30</v>
      </c>
      <c r="HE79" s="26" t="s">
        <v>1358</v>
      </c>
      <c r="HF79" s="5" t="s">
        <v>1063</v>
      </c>
      <c r="HG79" s="4">
        <v>0.48499999999999999</v>
      </c>
      <c r="HH79">
        <v>0</v>
      </c>
      <c r="HI79">
        <v>30</v>
      </c>
      <c r="HJ79" s="26" t="s">
        <v>1358</v>
      </c>
      <c r="HK79" t="s">
        <v>815</v>
      </c>
      <c r="HL79" s="34">
        <v>1.1800000000000002</v>
      </c>
      <c r="HM79">
        <v>0</v>
      </c>
      <c r="HN79">
        <v>30</v>
      </c>
      <c r="HO79" t="s">
        <v>1</v>
      </c>
      <c r="HP79" s="26" t="s">
        <v>1358</v>
      </c>
      <c r="HZ79" t="s">
        <v>1</v>
      </c>
      <c r="IA79" t="s">
        <v>1</v>
      </c>
      <c r="IB79" s="10" t="s">
        <v>1</v>
      </c>
      <c r="IC79" s="10"/>
      <c r="ID79" s="10"/>
      <c r="IE79" s="10" t="s">
        <v>1</v>
      </c>
      <c r="IF79" s="10" t="s">
        <v>1</v>
      </c>
      <c r="IG79" s="10"/>
      <c r="IH79" s="10"/>
      <c r="II79" s="10"/>
      <c r="IJ79" s="10"/>
      <c r="IK79" s="10"/>
      <c r="IL79" s="10"/>
      <c r="IM79" s="10"/>
      <c r="IN79" s="10"/>
      <c r="IO79" s="10"/>
      <c r="IP79" s="10"/>
      <c r="IQ79" s="10"/>
      <c r="IR79" s="10"/>
      <c r="IS79" t="s">
        <v>1</v>
      </c>
      <c r="IT79" t="s">
        <v>1</v>
      </c>
      <c r="IW79" t="s">
        <v>1</v>
      </c>
      <c r="IX79" t="s">
        <v>1</v>
      </c>
      <c r="IY79" t="s">
        <v>1</v>
      </c>
      <c r="IZ79" t="s">
        <v>1</v>
      </c>
      <c r="JA79" t="s">
        <v>1</v>
      </c>
      <c r="JB79" s="3" t="s">
        <v>1</v>
      </c>
      <c r="JC79" t="s">
        <v>1</v>
      </c>
      <c r="JD79" s="4" t="s">
        <v>1</v>
      </c>
      <c r="JE79" t="s">
        <v>809</v>
      </c>
      <c r="JF79">
        <v>100</v>
      </c>
      <c r="JR79" t="s">
        <v>1066</v>
      </c>
      <c r="JS79">
        <v>93.4</v>
      </c>
      <c r="JU79" t="s">
        <v>1</v>
      </c>
      <c r="JW79" t="s">
        <v>1</v>
      </c>
      <c r="JX79">
        <v>0</v>
      </c>
      <c r="JY79">
        <v>150</v>
      </c>
      <c r="JZ79" t="s">
        <v>795</v>
      </c>
      <c r="KA79" t="s">
        <v>84</v>
      </c>
      <c r="KB79" t="s">
        <v>738</v>
      </c>
      <c r="KC79" t="s">
        <v>1</v>
      </c>
      <c r="KD79" t="s">
        <v>1</v>
      </c>
      <c r="KE79" t="s">
        <v>1</v>
      </c>
      <c r="KF79" t="s">
        <v>1</v>
      </c>
      <c r="KG79" t="s">
        <v>1</v>
      </c>
      <c r="KH79" t="s">
        <v>1</v>
      </c>
      <c r="KI79" t="s">
        <v>1</v>
      </c>
      <c r="KJ79" t="s">
        <v>1</v>
      </c>
      <c r="KK79" t="s">
        <v>1</v>
      </c>
    </row>
    <row r="80" spans="1:297" x14ac:dyDescent="0.2">
      <c r="A80">
        <v>79</v>
      </c>
      <c r="B80" t="s">
        <v>705</v>
      </c>
      <c r="C80" t="s">
        <v>85</v>
      </c>
      <c r="D80" t="s">
        <v>81</v>
      </c>
      <c r="E80">
        <v>9</v>
      </c>
      <c r="F80" t="s">
        <v>82</v>
      </c>
      <c r="G80" t="s">
        <v>1</v>
      </c>
      <c r="H80" s="26" t="s">
        <v>1420</v>
      </c>
      <c r="I80" t="s">
        <v>1</v>
      </c>
      <c r="J80" t="s">
        <v>1</v>
      </c>
      <c r="K80" t="s">
        <v>1</v>
      </c>
      <c r="L80" t="s">
        <v>1</v>
      </c>
      <c r="M80" t="s">
        <v>1</v>
      </c>
      <c r="N80" t="s">
        <v>1</v>
      </c>
      <c r="O80" t="s">
        <v>1</v>
      </c>
      <c r="P80" t="s">
        <v>1</v>
      </c>
      <c r="Q80" t="s">
        <v>1</v>
      </c>
      <c r="R80" t="s">
        <v>1</v>
      </c>
      <c r="S80" t="s">
        <v>1</v>
      </c>
      <c r="T80" t="s">
        <v>1</v>
      </c>
      <c r="U80" t="s">
        <v>1</v>
      </c>
      <c r="V80" t="s">
        <v>1</v>
      </c>
      <c r="W80" t="s">
        <v>1</v>
      </c>
      <c r="X80" t="s">
        <v>1</v>
      </c>
      <c r="Y80" t="s">
        <v>1</v>
      </c>
      <c r="Z80" t="s">
        <v>1</v>
      </c>
      <c r="AA80" t="s">
        <v>1</v>
      </c>
      <c r="AB80" t="s">
        <v>1</v>
      </c>
      <c r="AC80" t="s">
        <v>1</v>
      </c>
      <c r="AD80" t="s">
        <v>1</v>
      </c>
      <c r="AE80" t="s">
        <v>1</v>
      </c>
      <c r="AF80" t="s">
        <v>1</v>
      </c>
      <c r="AG80" t="s">
        <v>1</v>
      </c>
      <c r="AH80" t="s">
        <v>1</v>
      </c>
      <c r="AI80" t="s">
        <v>1</v>
      </c>
      <c r="AJ80" t="s">
        <v>1</v>
      </c>
      <c r="AK80" t="s">
        <v>1</v>
      </c>
      <c r="AL80" t="s">
        <v>1</v>
      </c>
      <c r="AM80" t="s">
        <v>1</v>
      </c>
      <c r="AN80">
        <v>79</v>
      </c>
      <c r="AO80">
        <f t="shared" si="7"/>
        <v>79</v>
      </c>
      <c r="AP80">
        <f t="shared" si="5"/>
        <v>9</v>
      </c>
      <c r="AQ80">
        <f t="shared" si="6"/>
        <v>9</v>
      </c>
      <c r="AR80" s="26" t="s">
        <v>1355</v>
      </c>
      <c r="AS80" s="26" t="s">
        <v>1356</v>
      </c>
      <c r="AT80" t="s">
        <v>710</v>
      </c>
      <c r="AU80" t="s">
        <v>1</v>
      </c>
      <c r="AV80" t="s">
        <v>1</v>
      </c>
      <c r="AW80">
        <v>28.26</v>
      </c>
      <c r="AX80">
        <v>116.93</v>
      </c>
      <c r="AY80" t="s">
        <v>737</v>
      </c>
      <c r="BA80" s="3">
        <v>3</v>
      </c>
      <c r="BB80" s="3"/>
      <c r="BC80" s="3"/>
      <c r="BD80" s="3"/>
      <c r="BE80" s="3"/>
      <c r="BF80">
        <v>1997</v>
      </c>
      <c r="BG80" s="24" t="s">
        <v>733</v>
      </c>
      <c r="BH80" s="24" t="s">
        <v>733</v>
      </c>
      <c r="BI80" s="24" t="s">
        <v>733</v>
      </c>
      <c r="BJ80" s="24" t="s">
        <v>732</v>
      </c>
      <c r="BK80" s="24" t="s">
        <v>733</v>
      </c>
      <c r="BL80" s="25" t="s">
        <v>733</v>
      </c>
      <c r="BM80" s="24" t="s">
        <v>733</v>
      </c>
      <c r="BN80" s="24" t="s">
        <v>732</v>
      </c>
      <c r="BO80" s="24" t="s">
        <v>733</v>
      </c>
      <c r="BP80" s="24" t="s">
        <v>733</v>
      </c>
      <c r="BQ80" s="24" t="s">
        <v>945</v>
      </c>
      <c r="BR80" s="24" t="s">
        <v>945</v>
      </c>
      <c r="BS80" s="25" t="s">
        <v>934</v>
      </c>
      <c r="BT80" s="24" t="s">
        <v>934</v>
      </c>
      <c r="BU80" s="24" t="s">
        <v>934</v>
      </c>
      <c r="BV80" s="24" t="s">
        <v>934</v>
      </c>
      <c r="BW80" s="24" t="s">
        <v>934</v>
      </c>
      <c r="BX80" s="24" t="s">
        <v>934</v>
      </c>
      <c r="BY80" s="25" t="s">
        <v>945</v>
      </c>
      <c r="BZ80" t="s">
        <v>1397</v>
      </c>
      <c r="CB80" t="s">
        <v>1392</v>
      </c>
      <c r="CC80" s="4" t="s">
        <v>1</v>
      </c>
      <c r="CD80" s="4"/>
      <c r="CE80" s="4"/>
      <c r="CF80" t="s">
        <v>1</v>
      </c>
      <c r="CG80" t="s">
        <v>1</v>
      </c>
      <c r="CH80" t="s">
        <v>805</v>
      </c>
      <c r="CI80" s="1">
        <f>AVERAGE(1,1.5)</f>
        <v>1.25</v>
      </c>
      <c r="CJ80" s="10" t="s">
        <v>1442</v>
      </c>
      <c r="CK80" s="9" t="s">
        <v>1</v>
      </c>
      <c r="CL80" s="4" t="s">
        <v>1</v>
      </c>
      <c r="CM80" t="s">
        <v>847</v>
      </c>
      <c r="CN80" s="15">
        <f>28.8+39.8</f>
        <v>68.599999999999994</v>
      </c>
      <c r="CO80" s="15"/>
      <c r="CP80" s="4" t="s">
        <v>1</v>
      </c>
      <c r="CQ80" s="4" t="s">
        <v>1</v>
      </c>
      <c r="CR80" s="4" t="s">
        <v>1</v>
      </c>
      <c r="CS80" s="4" t="s">
        <v>1</v>
      </c>
      <c r="CT80" s="4" t="s">
        <v>1</v>
      </c>
      <c r="CU80" s="4" t="s">
        <v>1</v>
      </c>
      <c r="CV80" t="s">
        <v>1</v>
      </c>
      <c r="CW80" t="s">
        <v>1</v>
      </c>
      <c r="CX80" t="s">
        <v>1</v>
      </c>
      <c r="CY80" t="s">
        <v>1</v>
      </c>
      <c r="CZ80" t="s">
        <v>1</v>
      </c>
      <c r="DA80" t="s">
        <v>734</v>
      </c>
      <c r="DB80">
        <v>17.7</v>
      </c>
      <c r="DC80">
        <v>0</v>
      </c>
      <c r="DD80">
        <v>30</v>
      </c>
      <c r="DE80" s="26" t="s">
        <v>1358</v>
      </c>
      <c r="DF80" t="s">
        <v>735</v>
      </c>
      <c r="DG80">
        <v>35.5</v>
      </c>
      <c r="DH80">
        <v>0</v>
      </c>
      <c r="DI80">
        <v>30</v>
      </c>
      <c r="DJ80" s="26" t="s">
        <v>1358</v>
      </c>
      <c r="DK80" t="s">
        <v>736</v>
      </c>
      <c r="DL80">
        <v>46.8</v>
      </c>
      <c r="DM80">
        <v>0</v>
      </c>
      <c r="DN80">
        <v>30</v>
      </c>
      <c r="DO80" s="26" t="s">
        <v>1358</v>
      </c>
      <c r="DP80" t="s">
        <v>6</v>
      </c>
      <c r="DQ80" t="s">
        <v>813</v>
      </c>
      <c r="DR80">
        <v>4.9000000000000004</v>
      </c>
      <c r="DS80">
        <v>0</v>
      </c>
      <c r="DT80">
        <v>30</v>
      </c>
      <c r="DU80" s="26" t="s">
        <v>1358</v>
      </c>
      <c r="EA80" t="s">
        <v>982</v>
      </c>
      <c r="EB80">
        <v>3.8</v>
      </c>
      <c r="EC80">
        <v>0</v>
      </c>
      <c r="ED80">
        <v>30</v>
      </c>
      <c r="EE80" s="26" t="s">
        <v>1358</v>
      </c>
      <c r="EF80" s="26"/>
      <c r="FZ80" t="s">
        <v>806</v>
      </c>
      <c r="GA80">
        <v>1919.333333</v>
      </c>
      <c r="GE80" s="26" t="s">
        <v>1358</v>
      </c>
      <c r="HA80" s="5" t="s">
        <v>1069</v>
      </c>
      <c r="HB80" s="4">
        <v>10.75</v>
      </c>
      <c r="HC80">
        <v>0</v>
      </c>
      <c r="HD80">
        <v>30</v>
      </c>
      <c r="HE80" s="26" t="s">
        <v>1358</v>
      </c>
      <c r="HF80" s="5" t="s">
        <v>1063</v>
      </c>
      <c r="HG80" s="4">
        <v>0.48499999999999999</v>
      </c>
      <c r="HH80">
        <v>0</v>
      </c>
      <c r="HI80">
        <v>30</v>
      </c>
      <c r="HJ80" s="26" t="s">
        <v>1358</v>
      </c>
      <c r="HK80" t="s">
        <v>815</v>
      </c>
      <c r="HL80" s="34">
        <v>1.1800000000000002</v>
      </c>
      <c r="HM80">
        <v>0</v>
      </c>
      <c r="HN80">
        <v>30</v>
      </c>
      <c r="HO80" t="s">
        <v>1</v>
      </c>
      <c r="HP80" s="26" t="s">
        <v>1358</v>
      </c>
      <c r="HZ80" t="s">
        <v>969</v>
      </c>
      <c r="IA80">
        <v>75</v>
      </c>
      <c r="IB80" s="10" t="s">
        <v>1</v>
      </c>
      <c r="IC80" s="10"/>
      <c r="ID80" s="10"/>
      <c r="IE80" s="10" t="s">
        <v>1</v>
      </c>
      <c r="IF80" s="10" t="s">
        <v>1</v>
      </c>
      <c r="IG80" s="10"/>
      <c r="IH80" s="10"/>
      <c r="II80" s="10"/>
      <c r="IJ80" s="10"/>
      <c r="IK80" s="10"/>
      <c r="IL80" s="10"/>
      <c r="IM80" s="10"/>
      <c r="IN80" s="10"/>
      <c r="IO80" s="10"/>
      <c r="IP80" s="10"/>
      <c r="IQ80" s="10"/>
      <c r="IR80" s="10"/>
      <c r="IS80" t="s">
        <v>1</v>
      </c>
      <c r="IT80" t="s">
        <v>1</v>
      </c>
      <c r="IW80" t="s">
        <v>1</v>
      </c>
      <c r="IX80" t="s">
        <v>1</v>
      </c>
      <c r="IY80" t="s">
        <v>1</v>
      </c>
      <c r="IZ80" t="s">
        <v>1</v>
      </c>
      <c r="JA80" t="s">
        <v>1</v>
      </c>
      <c r="JB80" s="3" t="s">
        <v>1</v>
      </c>
      <c r="JC80" t="s">
        <v>1</v>
      </c>
      <c r="JD80" s="4" t="s">
        <v>1</v>
      </c>
      <c r="JE80" t="s">
        <v>809</v>
      </c>
      <c r="JF80">
        <v>100</v>
      </c>
      <c r="JR80" t="s">
        <v>1066</v>
      </c>
      <c r="JS80">
        <v>125.3</v>
      </c>
      <c r="JU80" t="s">
        <v>1</v>
      </c>
      <c r="JW80" t="s">
        <v>1</v>
      </c>
      <c r="JX80">
        <v>0</v>
      </c>
      <c r="JY80">
        <v>150</v>
      </c>
      <c r="JZ80" t="s">
        <v>795</v>
      </c>
      <c r="KA80" t="s">
        <v>84</v>
      </c>
      <c r="KB80" t="s">
        <v>738</v>
      </c>
      <c r="KC80" t="s">
        <v>1</v>
      </c>
      <c r="KD80" t="s">
        <v>1</v>
      </c>
      <c r="KE80" t="s">
        <v>1</v>
      </c>
      <c r="KF80" t="s">
        <v>1</v>
      </c>
      <c r="KG80" t="s">
        <v>1</v>
      </c>
      <c r="KH80" t="s">
        <v>1</v>
      </c>
      <c r="KI80" t="s">
        <v>1</v>
      </c>
      <c r="KJ80" t="s">
        <v>1</v>
      </c>
      <c r="KK80" t="s">
        <v>1</v>
      </c>
    </row>
    <row r="81" spans="1:297" x14ac:dyDescent="0.2">
      <c r="A81">
        <v>80</v>
      </c>
      <c r="B81" t="s">
        <v>705</v>
      </c>
      <c r="C81" t="s">
        <v>86</v>
      </c>
      <c r="D81" t="s">
        <v>81</v>
      </c>
      <c r="E81">
        <v>9</v>
      </c>
      <c r="F81" t="s">
        <v>82</v>
      </c>
      <c r="G81" t="s">
        <v>1</v>
      </c>
      <c r="H81" s="26" t="s">
        <v>1420</v>
      </c>
      <c r="I81" t="s">
        <v>1</v>
      </c>
      <c r="J81" t="s">
        <v>1</v>
      </c>
      <c r="K81" t="s">
        <v>1</v>
      </c>
      <c r="L81" t="s">
        <v>1</v>
      </c>
      <c r="M81" t="s">
        <v>1</v>
      </c>
      <c r="N81" t="s">
        <v>1</v>
      </c>
      <c r="O81" t="s">
        <v>1</v>
      </c>
      <c r="P81" t="s">
        <v>1</v>
      </c>
      <c r="Q81" t="s">
        <v>1</v>
      </c>
      <c r="R81" t="s">
        <v>1</v>
      </c>
      <c r="S81" t="s">
        <v>1</v>
      </c>
      <c r="T81" t="s">
        <v>1</v>
      </c>
      <c r="U81" t="s">
        <v>1</v>
      </c>
      <c r="V81" t="s">
        <v>1</v>
      </c>
      <c r="W81" t="s">
        <v>1</v>
      </c>
      <c r="X81" t="s">
        <v>1</v>
      </c>
      <c r="Y81" t="s">
        <v>1</v>
      </c>
      <c r="Z81" t="s">
        <v>1</v>
      </c>
      <c r="AA81" t="s">
        <v>1</v>
      </c>
      <c r="AB81" t="s">
        <v>1</v>
      </c>
      <c r="AC81" t="s">
        <v>1</v>
      </c>
      <c r="AD81" t="s">
        <v>1</v>
      </c>
      <c r="AE81" t="s">
        <v>1</v>
      </c>
      <c r="AF81" t="s">
        <v>1</v>
      </c>
      <c r="AG81" t="s">
        <v>1</v>
      </c>
      <c r="AH81" t="s">
        <v>1</v>
      </c>
      <c r="AI81" t="s">
        <v>1</v>
      </c>
      <c r="AJ81" t="s">
        <v>1</v>
      </c>
      <c r="AK81" t="s">
        <v>1</v>
      </c>
      <c r="AL81" t="s">
        <v>1</v>
      </c>
      <c r="AM81" t="s">
        <v>1</v>
      </c>
      <c r="AN81">
        <v>80</v>
      </c>
      <c r="AO81">
        <f t="shared" si="7"/>
        <v>80</v>
      </c>
      <c r="AP81">
        <f t="shared" si="5"/>
        <v>9</v>
      </c>
      <c r="AQ81">
        <f t="shared" si="6"/>
        <v>9</v>
      </c>
      <c r="AR81" s="26" t="s">
        <v>1355</v>
      </c>
      <c r="AS81" s="26" t="s">
        <v>1356</v>
      </c>
      <c r="AT81" t="s">
        <v>710</v>
      </c>
      <c r="AU81" t="s">
        <v>1</v>
      </c>
      <c r="AV81" t="s">
        <v>1</v>
      </c>
      <c r="AW81">
        <v>28.26</v>
      </c>
      <c r="AX81">
        <v>116.93</v>
      </c>
      <c r="AY81" t="s">
        <v>737</v>
      </c>
      <c r="BA81" s="3">
        <v>3</v>
      </c>
      <c r="BB81" s="3"/>
      <c r="BC81" s="3"/>
      <c r="BD81" s="3"/>
      <c r="BE81" s="3"/>
      <c r="BF81">
        <v>1997</v>
      </c>
      <c r="BG81" s="24" t="s">
        <v>733</v>
      </c>
      <c r="BH81" s="24" t="s">
        <v>733</v>
      </c>
      <c r="BI81" s="24" t="s">
        <v>733</v>
      </c>
      <c r="BJ81" s="24" t="s">
        <v>732</v>
      </c>
      <c r="BK81" s="24" t="s">
        <v>733</v>
      </c>
      <c r="BL81" s="25" t="s">
        <v>733</v>
      </c>
      <c r="BM81" s="24" t="s">
        <v>733</v>
      </c>
      <c r="BN81" s="24" t="s">
        <v>732</v>
      </c>
      <c r="BO81" s="24" t="s">
        <v>733</v>
      </c>
      <c r="BP81" s="24" t="s">
        <v>733</v>
      </c>
      <c r="BQ81" s="24" t="s">
        <v>945</v>
      </c>
      <c r="BR81" s="24" t="s">
        <v>945</v>
      </c>
      <c r="BS81" s="25" t="s">
        <v>934</v>
      </c>
      <c r="BT81" s="24" t="s">
        <v>934</v>
      </c>
      <c r="BU81" s="24" t="s">
        <v>934</v>
      </c>
      <c r="BV81" s="24" t="s">
        <v>934</v>
      </c>
      <c r="BW81" s="24" t="s">
        <v>934</v>
      </c>
      <c r="BX81" s="24" t="s">
        <v>934</v>
      </c>
      <c r="BY81" s="25" t="s">
        <v>945</v>
      </c>
      <c r="BZ81" t="s">
        <v>1397</v>
      </c>
      <c r="CB81" t="s">
        <v>1392</v>
      </c>
      <c r="CC81" s="4" t="s">
        <v>1</v>
      </c>
      <c r="CD81" s="4"/>
      <c r="CE81" s="4"/>
      <c r="CF81" t="s">
        <v>1</v>
      </c>
      <c r="CG81" t="s">
        <v>1</v>
      </c>
      <c r="CH81" t="s">
        <v>805</v>
      </c>
      <c r="CI81" s="1">
        <f>AVERAGE(1,1.5)</f>
        <v>1.25</v>
      </c>
      <c r="CJ81" s="10" t="s">
        <v>1442</v>
      </c>
      <c r="CK81" s="9" t="s">
        <v>1</v>
      </c>
      <c r="CL81" s="4" t="s">
        <v>1</v>
      </c>
      <c r="CM81" t="s">
        <v>847</v>
      </c>
      <c r="CN81" s="15">
        <f>36.5+57.4</f>
        <v>93.9</v>
      </c>
      <c r="CO81" s="15"/>
      <c r="CP81" s="4" t="s">
        <v>1</v>
      </c>
      <c r="CQ81" s="4" t="s">
        <v>1</v>
      </c>
      <c r="CR81" s="4" t="s">
        <v>1</v>
      </c>
      <c r="CS81" s="4" t="s">
        <v>1</v>
      </c>
      <c r="CT81" s="4" t="s">
        <v>1</v>
      </c>
      <c r="CU81" s="4" t="s">
        <v>1</v>
      </c>
      <c r="CV81" t="s">
        <v>1</v>
      </c>
      <c r="CW81" t="s">
        <v>1</v>
      </c>
      <c r="CX81" t="s">
        <v>1</v>
      </c>
      <c r="CY81" t="s">
        <v>1</v>
      </c>
      <c r="CZ81" t="s">
        <v>1</v>
      </c>
      <c r="DA81" t="s">
        <v>734</v>
      </c>
      <c r="DB81">
        <v>17.7</v>
      </c>
      <c r="DC81">
        <v>0</v>
      </c>
      <c r="DD81">
        <v>30</v>
      </c>
      <c r="DE81" s="26" t="s">
        <v>1358</v>
      </c>
      <c r="DF81" t="s">
        <v>735</v>
      </c>
      <c r="DG81">
        <v>35.5</v>
      </c>
      <c r="DH81">
        <v>0</v>
      </c>
      <c r="DI81">
        <v>30</v>
      </c>
      <c r="DJ81" s="26" t="s">
        <v>1358</v>
      </c>
      <c r="DK81" t="s">
        <v>736</v>
      </c>
      <c r="DL81">
        <v>46.8</v>
      </c>
      <c r="DM81">
        <v>0</v>
      </c>
      <c r="DN81">
        <v>30</v>
      </c>
      <c r="DO81" s="26" t="s">
        <v>1358</v>
      </c>
      <c r="DP81" t="s">
        <v>6</v>
      </c>
      <c r="DQ81" t="s">
        <v>813</v>
      </c>
      <c r="DR81">
        <v>4.9000000000000004</v>
      </c>
      <c r="DS81">
        <v>0</v>
      </c>
      <c r="DT81">
        <v>30</v>
      </c>
      <c r="DU81" s="26" t="s">
        <v>1358</v>
      </c>
      <c r="EA81" t="s">
        <v>982</v>
      </c>
      <c r="EB81">
        <v>3.8</v>
      </c>
      <c r="EC81">
        <v>0</v>
      </c>
      <c r="ED81">
        <v>30</v>
      </c>
      <c r="EE81" s="26" t="s">
        <v>1358</v>
      </c>
      <c r="EF81" s="26"/>
      <c r="FZ81" t="s">
        <v>806</v>
      </c>
      <c r="GA81">
        <v>1919.333333</v>
      </c>
      <c r="GE81" s="26" t="s">
        <v>1358</v>
      </c>
      <c r="HA81" s="5" t="s">
        <v>1069</v>
      </c>
      <c r="HB81" s="4">
        <v>10.75</v>
      </c>
      <c r="HC81">
        <v>0</v>
      </c>
      <c r="HD81">
        <v>30</v>
      </c>
      <c r="HE81" s="26" t="s">
        <v>1358</v>
      </c>
      <c r="HF81" s="5" t="s">
        <v>1063</v>
      </c>
      <c r="HG81" s="4">
        <v>0.48499999999999999</v>
      </c>
      <c r="HH81">
        <v>0</v>
      </c>
      <c r="HI81">
        <v>30</v>
      </c>
      <c r="HJ81" s="26" t="s">
        <v>1358</v>
      </c>
      <c r="HK81" t="s">
        <v>815</v>
      </c>
      <c r="HL81" s="34">
        <v>1.1800000000000002</v>
      </c>
      <c r="HM81">
        <v>0</v>
      </c>
      <c r="HN81">
        <v>30</v>
      </c>
      <c r="HO81" t="s">
        <v>1</v>
      </c>
      <c r="HP81" s="26" t="s">
        <v>1358</v>
      </c>
      <c r="HZ81" t="s">
        <v>969</v>
      </c>
      <c r="IA81">
        <v>113</v>
      </c>
      <c r="IB81" s="10" t="s">
        <v>1</v>
      </c>
      <c r="IC81" s="10"/>
      <c r="ID81" s="10"/>
      <c r="IE81" s="10" t="s">
        <v>1</v>
      </c>
      <c r="IF81" s="10" t="s">
        <v>1</v>
      </c>
      <c r="IG81" s="10"/>
      <c r="IH81" s="10"/>
      <c r="II81" s="10"/>
      <c r="IJ81" s="10"/>
      <c r="IK81" s="10"/>
      <c r="IL81" s="10"/>
      <c r="IM81" s="10"/>
      <c r="IN81" s="10"/>
      <c r="IO81" s="10"/>
      <c r="IP81" s="10"/>
      <c r="IQ81" s="10"/>
      <c r="IR81" s="10"/>
      <c r="IS81" t="s">
        <v>1</v>
      </c>
      <c r="IT81" t="s">
        <v>1</v>
      </c>
      <c r="IW81" t="s">
        <v>1</v>
      </c>
      <c r="IX81" t="s">
        <v>1</v>
      </c>
      <c r="IY81" t="s">
        <v>1</v>
      </c>
      <c r="IZ81" t="s">
        <v>1</v>
      </c>
      <c r="JA81" t="s">
        <v>1</v>
      </c>
      <c r="JB81" s="3" t="s">
        <v>1</v>
      </c>
      <c r="JC81" t="s">
        <v>1</v>
      </c>
      <c r="JD81" s="4" t="s">
        <v>1</v>
      </c>
      <c r="JE81" t="s">
        <v>809</v>
      </c>
      <c r="JF81">
        <v>100</v>
      </c>
      <c r="JR81" t="s">
        <v>1066</v>
      </c>
      <c r="JS81">
        <v>166.4</v>
      </c>
      <c r="JU81" t="s">
        <v>1</v>
      </c>
      <c r="JW81" t="s">
        <v>1</v>
      </c>
      <c r="JX81">
        <v>0</v>
      </c>
      <c r="JY81">
        <v>150</v>
      </c>
      <c r="JZ81" t="s">
        <v>795</v>
      </c>
      <c r="KA81" t="s">
        <v>84</v>
      </c>
      <c r="KB81" t="s">
        <v>738</v>
      </c>
      <c r="KC81" t="s">
        <v>1</v>
      </c>
      <c r="KD81" t="s">
        <v>1</v>
      </c>
      <c r="KE81" t="s">
        <v>1</v>
      </c>
      <c r="KF81" t="s">
        <v>1</v>
      </c>
      <c r="KG81" t="s">
        <v>1</v>
      </c>
      <c r="KH81" t="s">
        <v>1</v>
      </c>
      <c r="KI81" t="s">
        <v>1</v>
      </c>
      <c r="KJ81" t="s">
        <v>1</v>
      </c>
      <c r="KK81" t="s">
        <v>1</v>
      </c>
    </row>
    <row r="82" spans="1:297" x14ac:dyDescent="0.2">
      <c r="A82">
        <v>81</v>
      </c>
      <c r="B82" t="s">
        <v>705</v>
      </c>
      <c r="C82" t="s">
        <v>87</v>
      </c>
      <c r="D82" t="s">
        <v>81</v>
      </c>
      <c r="E82">
        <v>9</v>
      </c>
      <c r="F82" t="s">
        <v>82</v>
      </c>
      <c r="G82" t="s">
        <v>1</v>
      </c>
      <c r="H82" s="26" t="s">
        <v>1420</v>
      </c>
      <c r="I82" t="s">
        <v>1</v>
      </c>
      <c r="J82" t="s">
        <v>1</v>
      </c>
      <c r="K82" t="s">
        <v>1</v>
      </c>
      <c r="L82" t="s">
        <v>1</v>
      </c>
      <c r="M82" t="s">
        <v>1</v>
      </c>
      <c r="N82" t="s">
        <v>1</v>
      </c>
      <c r="O82" t="s">
        <v>1</v>
      </c>
      <c r="P82" t="s">
        <v>1</v>
      </c>
      <c r="Q82" t="s">
        <v>1</v>
      </c>
      <c r="R82" t="s">
        <v>1</v>
      </c>
      <c r="S82" t="s">
        <v>1</v>
      </c>
      <c r="T82" t="s">
        <v>1</v>
      </c>
      <c r="U82" t="s">
        <v>1</v>
      </c>
      <c r="V82" t="s">
        <v>1</v>
      </c>
      <c r="W82" t="s">
        <v>1</v>
      </c>
      <c r="X82" t="s">
        <v>1</v>
      </c>
      <c r="Y82" t="s">
        <v>1</v>
      </c>
      <c r="Z82" t="s">
        <v>1</v>
      </c>
      <c r="AA82" t="s">
        <v>1</v>
      </c>
      <c r="AB82" t="s">
        <v>1</v>
      </c>
      <c r="AC82" t="s">
        <v>1</v>
      </c>
      <c r="AD82" t="s">
        <v>1</v>
      </c>
      <c r="AE82" t="s">
        <v>1</v>
      </c>
      <c r="AF82" t="s">
        <v>1</v>
      </c>
      <c r="AG82" t="s">
        <v>1</v>
      </c>
      <c r="AH82" t="s">
        <v>1</v>
      </c>
      <c r="AI82" t="s">
        <v>1</v>
      </c>
      <c r="AJ82" t="s">
        <v>1</v>
      </c>
      <c r="AK82" t="s">
        <v>1</v>
      </c>
      <c r="AL82" t="s">
        <v>1</v>
      </c>
      <c r="AM82" t="s">
        <v>1</v>
      </c>
      <c r="AN82">
        <v>81</v>
      </c>
      <c r="AO82">
        <f t="shared" si="7"/>
        <v>81</v>
      </c>
      <c r="AP82">
        <f t="shared" si="5"/>
        <v>9</v>
      </c>
      <c r="AQ82">
        <f t="shared" si="6"/>
        <v>9</v>
      </c>
      <c r="AR82" s="26" t="s">
        <v>1355</v>
      </c>
      <c r="AS82" s="26" t="s">
        <v>1356</v>
      </c>
      <c r="AT82" t="s">
        <v>710</v>
      </c>
      <c r="AU82" t="s">
        <v>1</v>
      </c>
      <c r="AV82" t="s">
        <v>1</v>
      </c>
      <c r="AW82">
        <v>28.26</v>
      </c>
      <c r="AX82">
        <v>116.93</v>
      </c>
      <c r="AY82" t="s">
        <v>737</v>
      </c>
      <c r="BA82" s="3">
        <v>3</v>
      </c>
      <c r="BB82" s="3"/>
      <c r="BC82" s="3"/>
      <c r="BD82" s="3"/>
      <c r="BE82" s="3"/>
      <c r="BF82">
        <v>1997</v>
      </c>
      <c r="BG82" s="24" t="s">
        <v>733</v>
      </c>
      <c r="BH82" s="24" t="s">
        <v>733</v>
      </c>
      <c r="BI82" s="24" t="s">
        <v>733</v>
      </c>
      <c r="BJ82" s="24" t="s">
        <v>732</v>
      </c>
      <c r="BK82" s="24" t="s">
        <v>733</v>
      </c>
      <c r="BL82" s="25" t="s">
        <v>733</v>
      </c>
      <c r="BM82" s="24" t="s">
        <v>733</v>
      </c>
      <c r="BN82" s="24" t="s">
        <v>732</v>
      </c>
      <c r="BO82" s="24" t="s">
        <v>733</v>
      </c>
      <c r="BP82" s="24" t="s">
        <v>733</v>
      </c>
      <c r="BQ82" s="24" t="s">
        <v>945</v>
      </c>
      <c r="BR82" s="24" t="s">
        <v>945</v>
      </c>
      <c r="BS82" s="25" t="s">
        <v>934</v>
      </c>
      <c r="BT82" s="24" t="s">
        <v>934</v>
      </c>
      <c r="BU82" s="24" t="s">
        <v>934</v>
      </c>
      <c r="BV82" s="24" t="s">
        <v>934</v>
      </c>
      <c r="BW82" s="24" t="s">
        <v>934</v>
      </c>
      <c r="BX82" s="24" t="s">
        <v>934</v>
      </c>
      <c r="BY82" s="25" t="s">
        <v>945</v>
      </c>
      <c r="BZ82" t="s">
        <v>1397</v>
      </c>
      <c r="CB82" t="s">
        <v>1392</v>
      </c>
      <c r="CC82" s="4" t="s">
        <v>1</v>
      </c>
      <c r="CD82" s="4"/>
      <c r="CE82" s="4"/>
      <c r="CF82" t="s">
        <v>1</v>
      </c>
      <c r="CG82" t="s">
        <v>1</v>
      </c>
      <c r="CH82" t="s">
        <v>805</v>
      </c>
      <c r="CI82" s="1">
        <f>AVERAGE(1,1.5)</f>
        <v>1.25</v>
      </c>
      <c r="CJ82" s="10" t="s">
        <v>1442</v>
      </c>
      <c r="CK82" s="9" t="s">
        <v>1</v>
      </c>
      <c r="CL82" s="4" t="s">
        <v>1</v>
      </c>
      <c r="CM82" t="s">
        <v>847</v>
      </c>
      <c r="CN82" s="15">
        <f>44.2+75</f>
        <v>119.2</v>
      </c>
      <c r="CO82" s="15"/>
      <c r="CP82" s="4" t="s">
        <v>1</v>
      </c>
      <c r="CQ82" s="4" t="s">
        <v>1</v>
      </c>
      <c r="CR82" s="4" t="s">
        <v>1</v>
      </c>
      <c r="CS82" s="4" t="s">
        <v>1</v>
      </c>
      <c r="CT82" s="4" t="s">
        <v>1</v>
      </c>
      <c r="CU82" s="4" t="s">
        <v>1</v>
      </c>
      <c r="CV82" t="s">
        <v>1</v>
      </c>
      <c r="CW82" t="s">
        <v>1</v>
      </c>
      <c r="CX82" t="s">
        <v>1</v>
      </c>
      <c r="CY82" t="s">
        <v>1</v>
      </c>
      <c r="CZ82" t="s">
        <v>1</v>
      </c>
      <c r="DA82" t="s">
        <v>734</v>
      </c>
      <c r="DB82">
        <v>17.7</v>
      </c>
      <c r="DC82">
        <v>0</v>
      </c>
      <c r="DD82">
        <v>30</v>
      </c>
      <c r="DE82" s="26" t="s">
        <v>1358</v>
      </c>
      <c r="DF82" t="s">
        <v>735</v>
      </c>
      <c r="DG82">
        <v>35.5</v>
      </c>
      <c r="DH82">
        <v>0</v>
      </c>
      <c r="DI82">
        <v>30</v>
      </c>
      <c r="DJ82" s="26" t="s">
        <v>1358</v>
      </c>
      <c r="DK82" t="s">
        <v>736</v>
      </c>
      <c r="DL82">
        <v>46.8</v>
      </c>
      <c r="DM82">
        <v>0</v>
      </c>
      <c r="DN82">
        <v>30</v>
      </c>
      <c r="DO82" s="26" t="s">
        <v>1358</v>
      </c>
      <c r="DP82" t="s">
        <v>6</v>
      </c>
      <c r="DQ82" t="s">
        <v>813</v>
      </c>
      <c r="DR82">
        <v>4.9000000000000004</v>
      </c>
      <c r="DS82">
        <v>0</v>
      </c>
      <c r="DT82">
        <v>30</v>
      </c>
      <c r="DU82" s="26" t="s">
        <v>1358</v>
      </c>
      <c r="EA82" t="s">
        <v>982</v>
      </c>
      <c r="EB82">
        <v>3.8</v>
      </c>
      <c r="EC82">
        <v>0</v>
      </c>
      <c r="ED82">
        <v>30</v>
      </c>
      <c r="EE82" s="26" t="s">
        <v>1358</v>
      </c>
      <c r="EF82" s="26"/>
      <c r="FZ82" t="s">
        <v>806</v>
      </c>
      <c r="GA82">
        <v>1919.333333</v>
      </c>
      <c r="GE82" s="26" t="s">
        <v>1358</v>
      </c>
      <c r="HA82" s="5" t="s">
        <v>1069</v>
      </c>
      <c r="HB82" s="4">
        <v>10.75</v>
      </c>
      <c r="HC82">
        <v>0</v>
      </c>
      <c r="HD82">
        <v>30</v>
      </c>
      <c r="HE82" s="26" t="s">
        <v>1358</v>
      </c>
      <c r="HF82" s="5" t="s">
        <v>1063</v>
      </c>
      <c r="HG82" s="4">
        <v>0.48499999999999999</v>
      </c>
      <c r="HH82">
        <v>0</v>
      </c>
      <c r="HI82">
        <v>30</v>
      </c>
      <c r="HJ82" s="26" t="s">
        <v>1358</v>
      </c>
      <c r="HK82" t="s">
        <v>815</v>
      </c>
      <c r="HL82" s="34">
        <v>1.1800000000000002</v>
      </c>
      <c r="HM82">
        <v>0</v>
      </c>
      <c r="HN82">
        <v>30</v>
      </c>
      <c r="HO82" t="s">
        <v>1</v>
      </c>
      <c r="HP82" s="26" t="s">
        <v>1358</v>
      </c>
      <c r="HZ82" t="s">
        <v>969</v>
      </c>
      <c r="IA82">
        <v>150</v>
      </c>
      <c r="IB82" s="10" t="s">
        <v>1</v>
      </c>
      <c r="IC82" s="10"/>
      <c r="ID82" s="10"/>
      <c r="IE82" s="10" t="s">
        <v>1</v>
      </c>
      <c r="IF82" s="10" t="s">
        <v>1</v>
      </c>
      <c r="IG82" s="10"/>
      <c r="IH82" s="10"/>
      <c r="II82" s="10"/>
      <c r="IJ82" s="10"/>
      <c r="IK82" s="10"/>
      <c r="IL82" s="10"/>
      <c r="IM82" s="10"/>
      <c r="IN82" s="10"/>
      <c r="IO82" s="10"/>
      <c r="IP82" s="10"/>
      <c r="IQ82" s="10"/>
      <c r="IR82" s="10"/>
      <c r="IS82" t="s">
        <v>1</v>
      </c>
      <c r="IT82" t="s">
        <v>1</v>
      </c>
      <c r="IW82" t="s">
        <v>1</v>
      </c>
      <c r="IX82" t="s">
        <v>1</v>
      </c>
      <c r="IY82" t="s">
        <v>1</v>
      </c>
      <c r="IZ82" t="s">
        <v>1</v>
      </c>
      <c r="JA82" t="s">
        <v>1</v>
      </c>
      <c r="JB82" s="3" t="s">
        <v>1</v>
      </c>
      <c r="JC82" t="s">
        <v>1</v>
      </c>
      <c r="JD82" s="4" t="s">
        <v>1</v>
      </c>
      <c r="JE82" t="s">
        <v>809</v>
      </c>
      <c r="JF82">
        <v>100</v>
      </c>
      <c r="JR82" t="s">
        <v>1066</v>
      </c>
      <c r="JS82">
        <v>205</v>
      </c>
      <c r="JU82" t="s">
        <v>1</v>
      </c>
      <c r="JW82" t="s">
        <v>1</v>
      </c>
      <c r="JX82">
        <v>0</v>
      </c>
      <c r="JY82">
        <v>150</v>
      </c>
      <c r="JZ82" t="s">
        <v>795</v>
      </c>
      <c r="KA82" t="s">
        <v>84</v>
      </c>
      <c r="KB82" t="s">
        <v>738</v>
      </c>
      <c r="KC82" t="s">
        <v>1</v>
      </c>
      <c r="KD82" t="s">
        <v>1</v>
      </c>
      <c r="KE82" t="s">
        <v>1</v>
      </c>
      <c r="KF82" t="s">
        <v>1</v>
      </c>
      <c r="KG82" t="s">
        <v>1</v>
      </c>
      <c r="KH82" t="s">
        <v>1</v>
      </c>
      <c r="KI82" t="s">
        <v>1</v>
      </c>
      <c r="KJ82" t="s">
        <v>1</v>
      </c>
      <c r="KK82" t="s">
        <v>1</v>
      </c>
    </row>
    <row r="83" spans="1:297" x14ac:dyDescent="0.2">
      <c r="A83">
        <v>82</v>
      </c>
      <c r="B83" t="s">
        <v>705</v>
      </c>
      <c r="C83" t="s">
        <v>89</v>
      </c>
      <c r="D83" t="s">
        <v>88</v>
      </c>
      <c r="E83">
        <v>10</v>
      </c>
      <c r="F83" t="s">
        <v>699</v>
      </c>
      <c r="G83" t="s">
        <v>1</v>
      </c>
      <c r="H83" s="26" t="s">
        <v>1420</v>
      </c>
      <c r="I83" t="s">
        <v>1</v>
      </c>
      <c r="J83" t="s">
        <v>1</v>
      </c>
      <c r="K83" t="s">
        <v>1</v>
      </c>
      <c r="L83" t="s">
        <v>1</v>
      </c>
      <c r="M83" t="s">
        <v>1</v>
      </c>
      <c r="N83" t="s">
        <v>1</v>
      </c>
      <c r="O83" t="s">
        <v>1</v>
      </c>
      <c r="P83" t="s">
        <v>1</v>
      </c>
      <c r="Q83" t="s">
        <v>1</v>
      </c>
      <c r="R83" t="s">
        <v>1</v>
      </c>
      <c r="S83" t="s">
        <v>1</v>
      </c>
      <c r="T83" t="s">
        <v>1</v>
      </c>
      <c r="U83" t="s">
        <v>1</v>
      </c>
      <c r="V83" t="s">
        <v>1</v>
      </c>
      <c r="W83" t="s">
        <v>1</v>
      </c>
      <c r="X83" t="s">
        <v>1</v>
      </c>
      <c r="Y83" t="s">
        <v>1</v>
      </c>
      <c r="Z83" t="s">
        <v>1</v>
      </c>
      <c r="AA83" t="s">
        <v>1</v>
      </c>
      <c r="AB83" t="s">
        <v>1</v>
      </c>
      <c r="AC83" t="s">
        <v>1</v>
      </c>
      <c r="AD83" t="s">
        <v>1</v>
      </c>
      <c r="AE83" t="s">
        <v>1</v>
      </c>
      <c r="AF83" t="s">
        <v>1</v>
      </c>
      <c r="AG83" t="s">
        <v>1</v>
      </c>
      <c r="AH83" t="s">
        <v>1</v>
      </c>
      <c r="AI83" t="s">
        <v>1</v>
      </c>
      <c r="AJ83" t="s">
        <v>1</v>
      </c>
      <c r="AK83" t="s">
        <v>1</v>
      </c>
      <c r="AL83" t="s">
        <v>1</v>
      </c>
      <c r="AM83" t="s">
        <v>1</v>
      </c>
      <c r="AN83">
        <v>82</v>
      </c>
      <c r="AO83">
        <f t="shared" si="7"/>
        <v>82</v>
      </c>
      <c r="AP83">
        <f t="shared" si="5"/>
        <v>10</v>
      </c>
      <c r="AQ83">
        <f t="shared" si="6"/>
        <v>10</v>
      </c>
      <c r="AR83" s="26" t="s">
        <v>1355</v>
      </c>
      <c r="AS83" s="26" t="s">
        <v>1356</v>
      </c>
      <c r="AT83" t="s">
        <v>711</v>
      </c>
      <c r="AU83" t="s">
        <v>1</v>
      </c>
      <c r="AV83" t="s">
        <v>1</v>
      </c>
      <c r="AW83">
        <v>43.38</v>
      </c>
      <c r="AX83">
        <v>-2.83</v>
      </c>
      <c r="AY83" t="s">
        <v>737</v>
      </c>
      <c r="BA83" s="3">
        <v>4</v>
      </c>
      <c r="BB83" s="3"/>
      <c r="BC83" s="3"/>
      <c r="BD83" s="3"/>
      <c r="BE83" s="3"/>
      <c r="BF83">
        <v>2006</v>
      </c>
      <c r="BG83" s="24" t="s">
        <v>733</v>
      </c>
      <c r="BH83" s="24" t="s">
        <v>733</v>
      </c>
      <c r="BI83" s="24" t="s">
        <v>733</v>
      </c>
      <c r="BJ83" s="24" t="s">
        <v>732</v>
      </c>
      <c r="BK83" s="24" t="s">
        <v>733</v>
      </c>
      <c r="BL83" s="25" t="s">
        <v>733</v>
      </c>
      <c r="BM83" s="24" t="s">
        <v>733</v>
      </c>
      <c r="BN83" s="24" t="s">
        <v>732</v>
      </c>
      <c r="BO83" s="24" t="s">
        <v>733</v>
      </c>
      <c r="BP83" s="24" t="s">
        <v>733</v>
      </c>
      <c r="BQ83" s="24" t="s">
        <v>945</v>
      </c>
      <c r="BR83" s="24" t="s">
        <v>945</v>
      </c>
      <c r="BS83" s="25" t="s">
        <v>934</v>
      </c>
      <c r="BT83" s="24" t="s">
        <v>934</v>
      </c>
      <c r="BU83" s="24" t="s">
        <v>934</v>
      </c>
      <c r="BV83" s="24" t="s">
        <v>934</v>
      </c>
      <c r="BW83" s="24" t="s">
        <v>934</v>
      </c>
      <c r="BX83" s="24" t="s">
        <v>934</v>
      </c>
      <c r="BY83" s="25" t="s">
        <v>945</v>
      </c>
      <c r="BZ83" t="s">
        <v>62</v>
      </c>
      <c r="CB83" t="s">
        <v>63</v>
      </c>
      <c r="CC83" s="4" t="s">
        <v>1</v>
      </c>
      <c r="CD83" s="4"/>
      <c r="CE83" s="4"/>
      <c r="CF83" t="s">
        <v>1</v>
      </c>
      <c r="CG83" t="s">
        <v>1</v>
      </c>
      <c r="CH83" t="s">
        <v>805</v>
      </c>
      <c r="CI83" s="7">
        <v>1.7</v>
      </c>
      <c r="CJ83" s="10" t="s">
        <v>1442</v>
      </c>
      <c r="CK83" s="9" t="s">
        <v>1</v>
      </c>
      <c r="CL83" s="4" t="s">
        <v>1</v>
      </c>
      <c r="CM83" t="s">
        <v>847</v>
      </c>
      <c r="CN83" s="4">
        <v>51</v>
      </c>
      <c r="CO83" s="4"/>
      <c r="CP83" s="4" t="s">
        <v>1</v>
      </c>
      <c r="CQ83" s="4" t="s">
        <v>1</v>
      </c>
      <c r="CR83" s="4" t="s">
        <v>1</v>
      </c>
      <c r="CS83" s="4" t="s">
        <v>1</v>
      </c>
      <c r="CT83" s="4" t="s">
        <v>1</v>
      </c>
      <c r="CU83" s="4" t="s">
        <v>1</v>
      </c>
      <c r="CV83" t="s">
        <v>1</v>
      </c>
      <c r="CW83" t="s">
        <v>1</v>
      </c>
      <c r="CX83" t="s">
        <v>1</v>
      </c>
      <c r="CY83" t="s">
        <v>1</v>
      </c>
      <c r="CZ83" t="s">
        <v>1</v>
      </c>
      <c r="DA83" t="s">
        <v>734</v>
      </c>
      <c r="DB83">
        <v>43.6</v>
      </c>
      <c r="DC83">
        <v>0</v>
      </c>
      <c r="DD83">
        <v>30</v>
      </c>
      <c r="DE83" s="26" t="s">
        <v>1358</v>
      </c>
      <c r="DF83" t="s">
        <v>735</v>
      </c>
      <c r="DG83">
        <v>25.2</v>
      </c>
      <c r="DH83">
        <v>0</v>
      </c>
      <c r="DI83">
        <v>30</v>
      </c>
      <c r="DJ83" s="26" t="s">
        <v>1358</v>
      </c>
      <c r="DK83" t="s">
        <v>736</v>
      </c>
      <c r="DL83">
        <v>31.2</v>
      </c>
      <c r="DM83">
        <v>0</v>
      </c>
      <c r="DN83">
        <v>30</v>
      </c>
      <c r="DO83" s="26" t="s">
        <v>1358</v>
      </c>
      <c r="DP83" t="s">
        <v>6</v>
      </c>
      <c r="DQ83" t="s">
        <v>813</v>
      </c>
      <c r="DR83">
        <v>7.6</v>
      </c>
      <c r="DS83">
        <v>0</v>
      </c>
      <c r="DT83">
        <v>30</v>
      </c>
      <c r="DU83" s="26" t="s">
        <v>1358</v>
      </c>
      <c r="EA83" t="s">
        <v>982</v>
      </c>
      <c r="EB83">
        <v>12.9</v>
      </c>
      <c r="EC83">
        <v>0</v>
      </c>
      <c r="ED83">
        <v>30</v>
      </c>
      <c r="EE83" s="26" t="s">
        <v>1358</v>
      </c>
      <c r="EF83" s="26"/>
      <c r="FZ83" t="s">
        <v>806</v>
      </c>
      <c r="GA83">
        <v>314</v>
      </c>
      <c r="GE83" s="26" t="s">
        <v>1358</v>
      </c>
      <c r="HA83" s="5" t="s">
        <v>1</v>
      </c>
      <c r="HB83" s="4" t="s">
        <v>1</v>
      </c>
      <c r="HC83" t="s">
        <v>1</v>
      </c>
      <c r="HD83" t="s">
        <v>1</v>
      </c>
      <c r="HE83" t="s">
        <v>1</v>
      </c>
      <c r="HF83" s="5" t="s">
        <v>1</v>
      </c>
      <c r="HG83" s="4" t="s">
        <v>1</v>
      </c>
      <c r="HH83" t="s">
        <v>1</v>
      </c>
      <c r="HI83" t="s">
        <v>1</v>
      </c>
      <c r="HJ83" t="s">
        <v>1</v>
      </c>
      <c r="HK83" t="s">
        <v>815</v>
      </c>
      <c r="HL83">
        <v>1.43</v>
      </c>
      <c r="HM83">
        <v>0</v>
      </c>
      <c r="HN83">
        <v>30</v>
      </c>
      <c r="HO83" t="s">
        <v>816</v>
      </c>
      <c r="HP83" s="26" t="s">
        <v>1358</v>
      </c>
      <c r="HZ83" t="s">
        <v>1</v>
      </c>
      <c r="IA83" t="s">
        <v>1</v>
      </c>
      <c r="IB83" s="10" t="s">
        <v>1</v>
      </c>
      <c r="IC83" s="10"/>
      <c r="ID83" s="10"/>
      <c r="IE83" s="10" t="s">
        <v>1</v>
      </c>
      <c r="IF83" s="10" t="s">
        <v>1</v>
      </c>
      <c r="IG83" s="10"/>
      <c r="IH83" s="10"/>
      <c r="II83" s="10"/>
      <c r="IJ83" s="10"/>
      <c r="IK83" s="10"/>
      <c r="IL83" s="10"/>
      <c r="IM83" s="10"/>
      <c r="IN83" s="10"/>
      <c r="IO83" s="10"/>
      <c r="IP83" s="10"/>
      <c r="IQ83" s="10"/>
      <c r="IR83" s="10"/>
      <c r="IS83" t="s">
        <v>1</v>
      </c>
      <c r="IT83" t="s">
        <v>1</v>
      </c>
      <c r="IW83" t="s">
        <v>1</v>
      </c>
      <c r="IX83" t="s">
        <v>1</v>
      </c>
      <c r="IY83" t="s">
        <v>1</v>
      </c>
      <c r="IZ83" t="s">
        <v>1</v>
      </c>
      <c r="JA83" t="s">
        <v>1065</v>
      </c>
      <c r="JB83" s="3">
        <v>7</v>
      </c>
      <c r="JC83" t="s">
        <v>1</v>
      </c>
      <c r="JD83" s="4" t="s">
        <v>1</v>
      </c>
      <c r="JE83" t="s">
        <v>1</v>
      </c>
      <c r="JF83" t="s">
        <v>1</v>
      </c>
      <c r="JR83" t="s">
        <v>1066</v>
      </c>
      <c r="JS83">
        <v>17.7</v>
      </c>
      <c r="JU83" t="s">
        <v>1</v>
      </c>
      <c r="JW83" t="s">
        <v>1</v>
      </c>
      <c r="JX83">
        <v>0</v>
      </c>
      <c r="JY83">
        <v>60</v>
      </c>
      <c r="JZ83" t="s">
        <v>800</v>
      </c>
      <c r="KA83" t="s">
        <v>90</v>
      </c>
      <c r="KB83" t="s">
        <v>738</v>
      </c>
      <c r="KC83" t="s">
        <v>1</v>
      </c>
      <c r="KD83" t="s">
        <v>1</v>
      </c>
      <c r="KE83" t="s">
        <v>1</v>
      </c>
      <c r="KF83" t="s">
        <v>1</v>
      </c>
      <c r="KG83" t="s">
        <v>1</v>
      </c>
      <c r="KH83" t="s">
        <v>1</v>
      </c>
      <c r="KI83" t="s">
        <v>1</v>
      </c>
      <c r="KJ83" t="s">
        <v>1</v>
      </c>
      <c r="KK83" t="s">
        <v>1</v>
      </c>
    </row>
    <row r="84" spans="1:297" x14ac:dyDescent="0.2">
      <c r="A84">
        <v>83</v>
      </c>
      <c r="B84" t="s">
        <v>705</v>
      </c>
      <c r="C84" t="s">
        <v>91</v>
      </c>
      <c r="D84" t="s">
        <v>88</v>
      </c>
      <c r="E84">
        <v>10</v>
      </c>
      <c r="F84" t="s">
        <v>699</v>
      </c>
      <c r="G84" t="s">
        <v>1</v>
      </c>
      <c r="H84" s="26" t="s">
        <v>1420</v>
      </c>
      <c r="I84" t="s">
        <v>1</v>
      </c>
      <c r="J84" t="s">
        <v>1</v>
      </c>
      <c r="K84" t="s">
        <v>1</v>
      </c>
      <c r="L84" t="s">
        <v>1</v>
      </c>
      <c r="M84" t="s">
        <v>1</v>
      </c>
      <c r="N84" t="s">
        <v>1</v>
      </c>
      <c r="O84" t="s">
        <v>1</v>
      </c>
      <c r="P84" t="s">
        <v>1</v>
      </c>
      <c r="Q84" t="s">
        <v>1</v>
      </c>
      <c r="R84" t="s">
        <v>1</v>
      </c>
      <c r="S84" t="s">
        <v>1</v>
      </c>
      <c r="T84" t="s">
        <v>1</v>
      </c>
      <c r="U84" t="s">
        <v>1</v>
      </c>
      <c r="V84" t="s">
        <v>1</v>
      </c>
      <c r="W84" t="s">
        <v>1</v>
      </c>
      <c r="X84" t="s">
        <v>1</v>
      </c>
      <c r="Y84" t="s">
        <v>1</v>
      </c>
      <c r="Z84" t="s">
        <v>1</v>
      </c>
      <c r="AA84" t="s">
        <v>1</v>
      </c>
      <c r="AB84" t="s">
        <v>1</v>
      </c>
      <c r="AC84" t="s">
        <v>1</v>
      </c>
      <c r="AD84" t="s">
        <v>1</v>
      </c>
      <c r="AE84" t="s">
        <v>1</v>
      </c>
      <c r="AF84" t="s">
        <v>1</v>
      </c>
      <c r="AG84" t="s">
        <v>1</v>
      </c>
      <c r="AH84" t="s">
        <v>1</v>
      </c>
      <c r="AI84" t="s">
        <v>1</v>
      </c>
      <c r="AJ84" t="s">
        <v>1</v>
      </c>
      <c r="AK84" t="s">
        <v>1</v>
      </c>
      <c r="AL84" t="s">
        <v>1</v>
      </c>
      <c r="AM84" t="s">
        <v>1</v>
      </c>
      <c r="AN84">
        <v>83</v>
      </c>
      <c r="AO84">
        <f t="shared" si="7"/>
        <v>83</v>
      </c>
      <c r="AP84">
        <f t="shared" si="5"/>
        <v>10</v>
      </c>
      <c r="AQ84">
        <f t="shared" si="6"/>
        <v>10</v>
      </c>
      <c r="AR84" s="26" t="s">
        <v>1355</v>
      </c>
      <c r="AS84" s="26" t="s">
        <v>1356</v>
      </c>
      <c r="AT84" t="s">
        <v>711</v>
      </c>
      <c r="AU84" t="s">
        <v>1</v>
      </c>
      <c r="AV84" t="s">
        <v>1</v>
      </c>
      <c r="AW84">
        <v>43.38</v>
      </c>
      <c r="AX84">
        <v>-2.83</v>
      </c>
      <c r="AY84" t="s">
        <v>737</v>
      </c>
      <c r="BA84" s="3">
        <v>4</v>
      </c>
      <c r="BB84" s="3"/>
      <c r="BC84" s="3"/>
      <c r="BD84" s="3"/>
      <c r="BE84" s="3"/>
      <c r="BF84">
        <v>2006</v>
      </c>
      <c r="BG84" s="24" t="s">
        <v>733</v>
      </c>
      <c r="BH84" s="24" t="s">
        <v>733</v>
      </c>
      <c r="BI84" s="24" t="s">
        <v>733</v>
      </c>
      <c r="BJ84" s="24" t="s">
        <v>732</v>
      </c>
      <c r="BK84" s="24" t="s">
        <v>733</v>
      </c>
      <c r="BL84" s="25" t="s">
        <v>733</v>
      </c>
      <c r="BM84" s="24" t="s">
        <v>733</v>
      </c>
      <c r="BN84" s="24" t="s">
        <v>732</v>
      </c>
      <c r="BO84" s="24" t="s">
        <v>733</v>
      </c>
      <c r="BP84" s="24" t="s">
        <v>733</v>
      </c>
      <c r="BQ84" s="24" t="s">
        <v>945</v>
      </c>
      <c r="BR84" s="24" t="s">
        <v>945</v>
      </c>
      <c r="BS84" s="25" t="s">
        <v>934</v>
      </c>
      <c r="BT84" s="24" t="s">
        <v>934</v>
      </c>
      <c r="BU84" s="24" t="s">
        <v>934</v>
      </c>
      <c r="BV84" s="24" t="s">
        <v>934</v>
      </c>
      <c r="BW84" s="24" t="s">
        <v>934</v>
      </c>
      <c r="BX84" s="24" t="s">
        <v>934</v>
      </c>
      <c r="BY84" s="25" t="s">
        <v>945</v>
      </c>
      <c r="BZ84" t="s">
        <v>62</v>
      </c>
      <c r="CB84" t="s">
        <v>63</v>
      </c>
      <c r="CC84" s="4" t="s">
        <v>1</v>
      </c>
      <c r="CD84" s="4"/>
      <c r="CE84" s="4"/>
      <c r="CF84" t="s">
        <v>1</v>
      </c>
      <c r="CG84" t="s">
        <v>1</v>
      </c>
      <c r="CH84" t="s">
        <v>805</v>
      </c>
      <c r="CI84" s="7">
        <v>1.7</v>
      </c>
      <c r="CJ84" s="10" t="s">
        <v>1442</v>
      </c>
      <c r="CK84" s="9" t="s">
        <v>1</v>
      </c>
      <c r="CL84" s="4" t="s">
        <v>1</v>
      </c>
      <c r="CM84" t="s">
        <v>847</v>
      </c>
      <c r="CN84" s="4">
        <v>173</v>
      </c>
      <c r="CO84" s="4"/>
      <c r="CP84" s="4" t="s">
        <v>1</v>
      </c>
      <c r="CQ84" s="4" t="s">
        <v>1</v>
      </c>
      <c r="CR84" s="4" t="s">
        <v>1</v>
      </c>
      <c r="CS84" s="4" t="s">
        <v>1</v>
      </c>
      <c r="CT84" s="4" t="s">
        <v>1</v>
      </c>
      <c r="CU84" s="4" t="s">
        <v>1</v>
      </c>
      <c r="CV84" t="s">
        <v>1</v>
      </c>
      <c r="CW84" t="s">
        <v>1</v>
      </c>
      <c r="CX84" t="s">
        <v>1</v>
      </c>
      <c r="CY84" t="s">
        <v>1</v>
      </c>
      <c r="CZ84" t="s">
        <v>1</v>
      </c>
      <c r="DA84" t="s">
        <v>734</v>
      </c>
      <c r="DB84">
        <v>43.6</v>
      </c>
      <c r="DC84">
        <v>0</v>
      </c>
      <c r="DD84">
        <v>30</v>
      </c>
      <c r="DE84" s="26" t="s">
        <v>1358</v>
      </c>
      <c r="DF84" t="s">
        <v>735</v>
      </c>
      <c r="DG84">
        <v>25.2</v>
      </c>
      <c r="DH84">
        <v>0</v>
      </c>
      <c r="DI84">
        <v>30</v>
      </c>
      <c r="DJ84" s="26" t="s">
        <v>1358</v>
      </c>
      <c r="DK84" t="s">
        <v>736</v>
      </c>
      <c r="DL84">
        <v>31.2</v>
      </c>
      <c r="DM84">
        <v>0</v>
      </c>
      <c r="DN84">
        <v>30</v>
      </c>
      <c r="DO84" s="26" t="s">
        <v>1358</v>
      </c>
      <c r="DP84" t="s">
        <v>6</v>
      </c>
      <c r="DQ84" t="s">
        <v>813</v>
      </c>
      <c r="DR84">
        <v>7.6</v>
      </c>
      <c r="DS84">
        <v>0</v>
      </c>
      <c r="DT84">
        <v>30</v>
      </c>
      <c r="DU84" s="26" t="s">
        <v>1358</v>
      </c>
      <c r="EA84" t="s">
        <v>982</v>
      </c>
      <c r="EB84">
        <v>12.9</v>
      </c>
      <c r="EC84">
        <v>0</v>
      </c>
      <c r="ED84">
        <v>30</v>
      </c>
      <c r="EE84" s="26" t="s">
        <v>1358</v>
      </c>
      <c r="EF84" s="26"/>
      <c r="FZ84" t="s">
        <v>806</v>
      </c>
      <c r="GA84">
        <v>314</v>
      </c>
      <c r="GE84" s="26" t="s">
        <v>1358</v>
      </c>
      <c r="HA84" s="5" t="s">
        <v>1</v>
      </c>
      <c r="HB84" s="4" t="s">
        <v>1</v>
      </c>
      <c r="HC84" t="s">
        <v>1</v>
      </c>
      <c r="HD84" t="s">
        <v>1</v>
      </c>
      <c r="HE84" t="s">
        <v>1</v>
      </c>
      <c r="HF84" s="5" t="s">
        <v>1</v>
      </c>
      <c r="HG84" s="4" t="s">
        <v>1</v>
      </c>
      <c r="HH84" t="s">
        <v>1</v>
      </c>
      <c r="HI84" t="s">
        <v>1</v>
      </c>
      <c r="HJ84" t="s">
        <v>1</v>
      </c>
      <c r="HK84" t="s">
        <v>815</v>
      </c>
      <c r="HL84">
        <v>1.43</v>
      </c>
      <c r="HM84">
        <v>0</v>
      </c>
      <c r="HN84">
        <v>30</v>
      </c>
      <c r="HO84" t="s">
        <v>816</v>
      </c>
      <c r="HP84" s="26" t="s">
        <v>1358</v>
      </c>
      <c r="HZ84" t="s">
        <v>966</v>
      </c>
      <c r="IA84">
        <v>180</v>
      </c>
      <c r="IB84" s="10" t="s">
        <v>1</v>
      </c>
      <c r="IC84" s="10"/>
      <c r="ID84" s="10"/>
      <c r="IE84" s="10" t="s">
        <v>1</v>
      </c>
      <c r="IF84" s="10" t="s">
        <v>1</v>
      </c>
      <c r="IG84" s="10"/>
      <c r="IH84" s="10"/>
      <c r="II84" s="10"/>
      <c r="IJ84" s="10"/>
      <c r="IK84" s="10"/>
      <c r="IL84" s="10"/>
      <c r="IM84" s="10"/>
      <c r="IN84" s="10"/>
      <c r="IO84" s="10"/>
      <c r="IP84" s="10"/>
      <c r="IQ84" s="10"/>
      <c r="IR84" s="10"/>
      <c r="IS84" t="s">
        <v>1</v>
      </c>
      <c r="IT84" t="s">
        <v>1</v>
      </c>
      <c r="IW84" t="s">
        <v>1</v>
      </c>
      <c r="IX84" t="s">
        <v>1</v>
      </c>
      <c r="IY84" t="s">
        <v>1</v>
      </c>
      <c r="IZ84" t="s">
        <v>1</v>
      </c>
      <c r="JA84" t="s">
        <v>1065</v>
      </c>
      <c r="JB84" s="3">
        <v>7</v>
      </c>
      <c r="JC84" t="s">
        <v>1</v>
      </c>
      <c r="JD84" s="4" t="s">
        <v>1</v>
      </c>
      <c r="JE84" t="s">
        <v>1</v>
      </c>
      <c r="JF84" t="s">
        <v>1</v>
      </c>
      <c r="JR84" t="s">
        <v>1066</v>
      </c>
      <c r="JS84">
        <v>26.6</v>
      </c>
      <c r="JU84" t="s">
        <v>1</v>
      </c>
      <c r="JW84" t="s">
        <v>1</v>
      </c>
      <c r="JX84">
        <v>0</v>
      </c>
      <c r="JY84">
        <v>60</v>
      </c>
      <c r="JZ84" t="s">
        <v>800</v>
      </c>
      <c r="KA84" t="s">
        <v>90</v>
      </c>
      <c r="KB84" t="s">
        <v>738</v>
      </c>
      <c r="KC84" t="s">
        <v>1</v>
      </c>
      <c r="KD84" t="s">
        <v>1</v>
      </c>
      <c r="KE84" t="s">
        <v>1</v>
      </c>
      <c r="KF84" t="s">
        <v>1</v>
      </c>
      <c r="KG84" t="s">
        <v>1</v>
      </c>
      <c r="KH84" t="s">
        <v>1</v>
      </c>
      <c r="KI84" t="s">
        <v>1</v>
      </c>
      <c r="KJ84" t="s">
        <v>1</v>
      </c>
      <c r="KK84" t="s">
        <v>1</v>
      </c>
    </row>
    <row r="85" spans="1:297" x14ac:dyDescent="0.2">
      <c r="A85">
        <v>84</v>
      </c>
      <c r="B85" t="s">
        <v>705</v>
      </c>
      <c r="C85" t="s">
        <v>92</v>
      </c>
      <c r="D85" t="s">
        <v>88</v>
      </c>
      <c r="E85">
        <v>10</v>
      </c>
      <c r="F85" t="s">
        <v>699</v>
      </c>
      <c r="G85" t="s">
        <v>1</v>
      </c>
      <c r="H85" s="26" t="s">
        <v>1420</v>
      </c>
      <c r="I85" t="s">
        <v>1</v>
      </c>
      <c r="J85" t="s">
        <v>1</v>
      </c>
      <c r="K85" t="s">
        <v>1</v>
      </c>
      <c r="L85" t="s">
        <v>1</v>
      </c>
      <c r="M85" t="s">
        <v>1</v>
      </c>
      <c r="N85" t="s">
        <v>1</v>
      </c>
      <c r="O85" t="s">
        <v>1</v>
      </c>
      <c r="P85" t="s">
        <v>1</v>
      </c>
      <c r="Q85" t="s">
        <v>1</v>
      </c>
      <c r="R85" t="s">
        <v>1</v>
      </c>
      <c r="S85" t="s">
        <v>1</v>
      </c>
      <c r="T85" t="s">
        <v>1</v>
      </c>
      <c r="U85" t="s">
        <v>1</v>
      </c>
      <c r="V85" t="s">
        <v>1</v>
      </c>
      <c r="W85" t="s">
        <v>1</v>
      </c>
      <c r="X85" t="s">
        <v>1</v>
      </c>
      <c r="Y85" t="s">
        <v>1</v>
      </c>
      <c r="Z85" t="s">
        <v>1</v>
      </c>
      <c r="AA85" t="s">
        <v>1</v>
      </c>
      <c r="AB85" t="s">
        <v>1</v>
      </c>
      <c r="AC85" t="s">
        <v>1</v>
      </c>
      <c r="AD85" t="s">
        <v>1</v>
      </c>
      <c r="AE85" t="s">
        <v>1</v>
      </c>
      <c r="AF85" t="s">
        <v>1</v>
      </c>
      <c r="AG85" t="s">
        <v>1</v>
      </c>
      <c r="AH85" t="s">
        <v>1</v>
      </c>
      <c r="AI85" t="s">
        <v>1</v>
      </c>
      <c r="AJ85" t="s">
        <v>1</v>
      </c>
      <c r="AK85" t="s">
        <v>1</v>
      </c>
      <c r="AL85" t="s">
        <v>1</v>
      </c>
      <c r="AM85" t="s">
        <v>1</v>
      </c>
      <c r="AN85">
        <v>84</v>
      </c>
      <c r="AO85">
        <f t="shared" si="7"/>
        <v>84</v>
      </c>
      <c r="AP85">
        <f t="shared" si="5"/>
        <v>10</v>
      </c>
      <c r="AQ85">
        <f t="shared" si="6"/>
        <v>10</v>
      </c>
      <c r="AR85" s="26" t="s">
        <v>1355</v>
      </c>
      <c r="AS85" s="26" t="s">
        <v>1356</v>
      </c>
      <c r="AT85" t="s">
        <v>711</v>
      </c>
      <c r="AU85" t="s">
        <v>1</v>
      </c>
      <c r="AV85" t="s">
        <v>1</v>
      </c>
      <c r="AW85">
        <v>43.38</v>
      </c>
      <c r="AX85">
        <v>-2.83</v>
      </c>
      <c r="AY85" t="s">
        <v>737</v>
      </c>
      <c r="BA85" s="3">
        <v>4</v>
      </c>
      <c r="BB85" s="3"/>
      <c r="BC85" s="3"/>
      <c r="BD85" s="3"/>
      <c r="BE85" s="3"/>
      <c r="BF85">
        <v>2006</v>
      </c>
      <c r="BG85" s="24" t="s">
        <v>733</v>
      </c>
      <c r="BH85" s="24" t="s">
        <v>733</v>
      </c>
      <c r="BI85" s="24" t="s">
        <v>733</v>
      </c>
      <c r="BJ85" s="24" t="s">
        <v>732</v>
      </c>
      <c r="BK85" s="24" t="s">
        <v>733</v>
      </c>
      <c r="BL85" s="25" t="s">
        <v>733</v>
      </c>
      <c r="BM85" s="24" t="s">
        <v>733</v>
      </c>
      <c r="BN85" s="24" t="s">
        <v>732</v>
      </c>
      <c r="BO85" s="24" t="s">
        <v>733</v>
      </c>
      <c r="BP85" s="24" t="s">
        <v>733</v>
      </c>
      <c r="BQ85" s="24" t="s">
        <v>945</v>
      </c>
      <c r="BR85" s="24" t="s">
        <v>945</v>
      </c>
      <c r="BS85" s="25" t="s">
        <v>934</v>
      </c>
      <c r="BT85" s="24" t="s">
        <v>934</v>
      </c>
      <c r="BU85" s="24" t="s">
        <v>934</v>
      </c>
      <c r="BV85" s="24" t="s">
        <v>934</v>
      </c>
      <c r="BW85" s="24" t="s">
        <v>934</v>
      </c>
      <c r="BX85" s="24" t="s">
        <v>934</v>
      </c>
      <c r="BY85" s="25" t="s">
        <v>945</v>
      </c>
      <c r="BZ85" t="s">
        <v>62</v>
      </c>
      <c r="CB85" t="s">
        <v>63</v>
      </c>
      <c r="CC85" s="4" t="s">
        <v>1</v>
      </c>
      <c r="CD85" s="4"/>
      <c r="CE85" s="4"/>
      <c r="CF85" t="s">
        <v>1</v>
      </c>
      <c r="CG85" t="s">
        <v>1</v>
      </c>
      <c r="CH85" t="s">
        <v>805</v>
      </c>
      <c r="CI85" s="7">
        <v>1.7</v>
      </c>
      <c r="CJ85" s="10" t="s">
        <v>1442</v>
      </c>
      <c r="CK85" s="9" t="s">
        <v>1</v>
      </c>
      <c r="CL85" s="4" t="s">
        <v>1</v>
      </c>
      <c r="CM85" t="s">
        <v>847</v>
      </c>
      <c r="CN85" s="4">
        <v>200</v>
      </c>
      <c r="CO85" s="4"/>
      <c r="CP85" s="4" t="s">
        <v>1</v>
      </c>
      <c r="CQ85" s="4" t="s">
        <v>1</v>
      </c>
      <c r="CR85" s="4" t="s">
        <v>1</v>
      </c>
      <c r="CS85" s="4" t="s">
        <v>1</v>
      </c>
      <c r="CT85" s="4" t="s">
        <v>1</v>
      </c>
      <c r="CU85" s="4" t="s">
        <v>1</v>
      </c>
      <c r="CV85" t="s">
        <v>1</v>
      </c>
      <c r="CW85" t="s">
        <v>1</v>
      </c>
      <c r="CX85" t="s">
        <v>1</v>
      </c>
      <c r="CY85" t="s">
        <v>1</v>
      </c>
      <c r="CZ85" t="s">
        <v>1</v>
      </c>
      <c r="DA85" t="s">
        <v>734</v>
      </c>
      <c r="DB85">
        <v>43.6</v>
      </c>
      <c r="DC85">
        <v>0</v>
      </c>
      <c r="DD85">
        <v>30</v>
      </c>
      <c r="DE85" s="26" t="s">
        <v>1358</v>
      </c>
      <c r="DF85" t="s">
        <v>735</v>
      </c>
      <c r="DG85">
        <v>25.2</v>
      </c>
      <c r="DH85">
        <v>0</v>
      </c>
      <c r="DI85">
        <v>30</v>
      </c>
      <c r="DJ85" s="26" t="s">
        <v>1358</v>
      </c>
      <c r="DK85" t="s">
        <v>736</v>
      </c>
      <c r="DL85">
        <v>31.2</v>
      </c>
      <c r="DM85">
        <v>0</v>
      </c>
      <c r="DN85">
        <v>30</v>
      </c>
      <c r="DO85" s="26" t="s">
        <v>1358</v>
      </c>
      <c r="DP85" t="s">
        <v>6</v>
      </c>
      <c r="DQ85" t="s">
        <v>813</v>
      </c>
      <c r="DR85">
        <v>7.6</v>
      </c>
      <c r="DS85">
        <v>0</v>
      </c>
      <c r="DT85">
        <v>30</v>
      </c>
      <c r="DU85" s="26" t="s">
        <v>1358</v>
      </c>
      <c r="EA85" t="s">
        <v>982</v>
      </c>
      <c r="EB85">
        <v>12.9</v>
      </c>
      <c r="EC85">
        <v>0</v>
      </c>
      <c r="ED85">
        <v>30</v>
      </c>
      <c r="EE85" s="26" t="s">
        <v>1358</v>
      </c>
      <c r="EF85" s="26"/>
      <c r="FZ85" t="s">
        <v>806</v>
      </c>
      <c r="GA85">
        <v>314</v>
      </c>
      <c r="GE85" s="26" t="s">
        <v>1358</v>
      </c>
      <c r="HA85" s="5" t="s">
        <v>1</v>
      </c>
      <c r="HB85" s="4" t="s">
        <v>1</v>
      </c>
      <c r="HC85" t="s">
        <v>1</v>
      </c>
      <c r="HD85" t="s">
        <v>1</v>
      </c>
      <c r="HE85" t="s">
        <v>1</v>
      </c>
      <c r="HF85" s="5" t="s">
        <v>1</v>
      </c>
      <c r="HG85" s="4" t="s">
        <v>1</v>
      </c>
      <c r="HH85" t="s">
        <v>1</v>
      </c>
      <c r="HI85" t="s">
        <v>1</v>
      </c>
      <c r="HJ85" t="s">
        <v>1</v>
      </c>
      <c r="HK85" t="s">
        <v>815</v>
      </c>
      <c r="HL85">
        <v>1.43</v>
      </c>
      <c r="HM85">
        <v>0</v>
      </c>
      <c r="HN85">
        <v>30</v>
      </c>
      <c r="HO85" t="s">
        <v>816</v>
      </c>
      <c r="HP85" s="26" t="s">
        <v>1358</v>
      </c>
      <c r="HZ85" t="s">
        <v>966</v>
      </c>
      <c r="IA85">
        <v>220</v>
      </c>
      <c r="IB85" s="10" t="s">
        <v>1</v>
      </c>
      <c r="IC85" s="10"/>
      <c r="ID85" s="10"/>
      <c r="IE85" s="10" t="s">
        <v>1</v>
      </c>
      <c r="IF85" s="10" t="s">
        <v>1</v>
      </c>
      <c r="IG85" s="10"/>
      <c r="IH85" s="10"/>
      <c r="II85" s="10"/>
      <c r="IJ85" s="10"/>
      <c r="IK85" s="10"/>
      <c r="IL85" s="10"/>
      <c r="IM85" s="10"/>
      <c r="IN85" s="10"/>
      <c r="IO85" s="10"/>
      <c r="IP85" s="10"/>
      <c r="IQ85" s="10"/>
      <c r="IR85" s="10"/>
      <c r="IS85" t="s">
        <v>1</v>
      </c>
      <c r="IT85" t="s">
        <v>1</v>
      </c>
      <c r="IW85" t="s">
        <v>1</v>
      </c>
      <c r="IX85" t="s">
        <v>1</v>
      </c>
      <c r="IY85" t="s">
        <v>1</v>
      </c>
      <c r="IZ85" t="s">
        <v>1</v>
      </c>
      <c r="JA85" t="s">
        <v>1065</v>
      </c>
      <c r="JB85" s="3">
        <v>7</v>
      </c>
      <c r="JC85" t="s">
        <v>1</v>
      </c>
      <c r="JD85" s="4" t="s">
        <v>1</v>
      </c>
      <c r="JE85" t="s">
        <v>1</v>
      </c>
      <c r="JF85" t="s">
        <v>1</v>
      </c>
      <c r="JR85" t="s">
        <v>1066</v>
      </c>
      <c r="JS85">
        <v>44.3</v>
      </c>
      <c r="JU85" t="s">
        <v>1</v>
      </c>
      <c r="JW85" t="s">
        <v>1</v>
      </c>
      <c r="JX85">
        <v>0</v>
      </c>
      <c r="JY85">
        <v>60</v>
      </c>
      <c r="JZ85" t="s">
        <v>800</v>
      </c>
      <c r="KA85" t="s">
        <v>90</v>
      </c>
      <c r="KB85" t="s">
        <v>738</v>
      </c>
      <c r="KC85" t="s">
        <v>1</v>
      </c>
      <c r="KD85" t="s">
        <v>1</v>
      </c>
      <c r="KE85" t="s">
        <v>1</v>
      </c>
      <c r="KF85" t="s">
        <v>1</v>
      </c>
      <c r="KG85" t="s">
        <v>1</v>
      </c>
      <c r="KH85" t="s">
        <v>1</v>
      </c>
      <c r="KI85" t="s">
        <v>1</v>
      </c>
      <c r="KJ85" t="s">
        <v>1</v>
      </c>
      <c r="KK85" t="s">
        <v>1</v>
      </c>
    </row>
    <row r="86" spans="1:297" x14ac:dyDescent="0.2">
      <c r="A86">
        <v>85</v>
      </c>
      <c r="B86" t="s">
        <v>705</v>
      </c>
      <c r="C86" t="s">
        <v>89</v>
      </c>
      <c r="D86" t="s">
        <v>88</v>
      </c>
      <c r="E86">
        <v>10</v>
      </c>
      <c r="F86" t="s">
        <v>699</v>
      </c>
      <c r="G86" t="s">
        <v>1</v>
      </c>
      <c r="H86" s="26" t="s">
        <v>1420</v>
      </c>
      <c r="I86" t="s">
        <v>1</v>
      </c>
      <c r="J86" t="s">
        <v>1</v>
      </c>
      <c r="K86" t="s">
        <v>1</v>
      </c>
      <c r="L86" t="s">
        <v>1</v>
      </c>
      <c r="M86" t="s">
        <v>1</v>
      </c>
      <c r="N86" t="s">
        <v>1</v>
      </c>
      <c r="O86" t="s">
        <v>1</v>
      </c>
      <c r="P86" t="s">
        <v>1</v>
      </c>
      <c r="Q86" t="s">
        <v>1</v>
      </c>
      <c r="R86" t="s">
        <v>1</v>
      </c>
      <c r="S86" t="s">
        <v>1</v>
      </c>
      <c r="T86" t="s">
        <v>1</v>
      </c>
      <c r="U86" t="s">
        <v>1</v>
      </c>
      <c r="V86" t="s">
        <v>1</v>
      </c>
      <c r="W86" t="s">
        <v>1</v>
      </c>
      <c r="X86" t="s">
        <v>1</v>
      </c>
      <c r="Y86" t="s">
        <v>1</v>
      </c>
      <c r="Z86" t="s">
        <v>1</v>
      </c>
      <c r="AA86" t="s">
        <v>1</v>
      </c>
      <c r="AB86" t="s">
        <v>1</v>
      </c>
      <c r="AC86" t="s">
        <v>1</v>
      </c>
      <c r="AD86" t="s">
        <v>1</v>
      </c>
      <c r="AE86" t="s">
        <v>1</v>
      </c>
      <c r="AF86" t="s">
        <v>1</v>
      </c>
      <c r="AG86" t="s">
        <v>1</v>
      </c>
      <c r="AH86" t="s">
        <v>1</v>
      </c>
      <c r="AI86" t="s">
        <v>1</v>
      </c>
      <c r="AJ86" t="s">
        <v>1</v>
      </c>
      <c r="AK86" t="s">
        <v>1</v>
      </c>
      <c r="AL86" t="s">
        <v>1</v>
      </c>
      <c r="AM86" t="s">
        <v>1</v>
      </c>
      <c r="AN86">
        <v>85</v>
      </c>
      <c r="AO86">
        <f t="shared" si="7"/>
        <v>85</v>
      </c>
      <c r="AP86">
        <f t="shared" si="5"/>
        <v>10</v>
      </c>
      <c r="AQ86">
        <f t="shared" si="6"/>
        <v>10</v>
      </c>
      <c r="AR86" s="26" t="s">
        <v>1355</v>
      </c>
      <c r="AS86" s="26" t="s">
        <v>1356</v>
      </c>
      <c r="AT86" t="s">
        <v>711</v>
      </c>
      <c r="AU86" t="s">
        <v>1</v>
      </c>
      <c r="AV86" t="s">
        <v>1</v>
      </c>
      <c r="AW86">
        <v>43.38</v>
      </c>
      <c r="AX86">
        <v>-2.83</v>
      </c>
      <c r="AY86" t="s">
        <v>737</v>
      </c>
      <c r="BA86" s="3">
        <v>4</v>
      </c>
      <c r="BB86" s="3"/>
      <c r="BC86" s="3"/>
      <c r="BD86" s="3"/>
      <c r="BE86" s="3"/>
      <c r="BF86">
        <v>2007</v>
      </c>
      <c r="BG86" s="24" t="s">
        <v>733</v>
      </c>
      <c r="BH86" s="24" t="s">
        <v>733</v>
      </c>
      <c r="BI86" s="24" t="s">
        <v>733</v>
      </c>
      <c r="BJ86" s="24" t="s">
        <v>732</v>
      </c>
      <c r="BK86" s="24" t="s">
        <v>733</v>
      </c>
      <c r="BL86" s="25" t="s">
        <v>733</v>
      </c>
      <c r="BM86" s="24" t="s">
        <v>733</v>
      </c>
      <c r="BN86" s="24" t="s">
        <v>732</v>
      </c>
      <c r="BO86" s="24" t="s">
        <v>733</v>
      </c>
      <c r="BP86" s="24" t="s">
        <v>733</v>
      </c>
      <c r="BQ86" s="24" t="s">
        <v>945</v>
      </c>
      <c r="BR86" s="24" t="s">
        <v>945</v>
      </c>
      <c r="BS86" s="25" t="s">
        <v>934</v>
      </c>
      <c r="BT86" s="24" t="s">
        <v>934</v>
      </c>
      <c r="BU86" s="24" t="s">
        <v>934</v>
      </c>
      <c r="BV86" s="24" t="s">
        <v>934</v>
      </c>
      <c r="BW86" s="24" t="s">
        <v>934</v>
      </c>
      <c r="BX86" s="24" t="s">
        <v>934</v>
      </c>
      <c r="BY86" s="25" t="s">
        <v>945</v>
      </c>
      <c r="BZ86" t="s">
        <v>1393</v>
      </c>
      <c r="CB86" t="s">
        <v>1</v>
      </c>
      <c r="CC86" s="4" t="s">
        <v>1</v>
      </c>
      <c r="CD86" s="4"/>
      <c r="CE86" s="4"/>
      <c r="CF86" t="s">
        <v>1</v>
      </c>
      <c r="CG86" t="s">
        <v>1</v>
      </c>
      <c r="CH86" t="s">
        <v>805</v>
      </c>
      <c r="CI86" s="7">
        <v>1.5</v>
      </c>
      <c r="CJ86" s="10" t="s">
        <v>1442</v>
      </c>
      <c r="CK86" s="9" t="s">
        <v>1</v>
      </c>
      <c r="CL86" s="4" t="s">
        <v>1</v>
      </c>
      <c r="CM86" t="s">
        <v>847</v>
      </c>
      <c r="CN86" s="4">
        <v>75</v>
      </c>
      <c r="CO86" s="4"/>
      <c r="CP86" s="4" t="s">
        <v>1</v>
      </c>
      <c r="CQ86" s="4" t="s">
        <v>1</v>
      </c>
      <c r="CR86" s="4" t="s">
        <v>1</v>
      </c>
      <c r="CS86" s="4" t="s">
        <v>1</v>
      </c>
      <c r="CT86" s="4" t="s">
        <v>1</v>
      </c>
      <c r="CU86" s="4" t="s">
        <v>1</v>
      </c>
      <c r="CV86" t="s">
        <v>1</v>
      </c>
      <c r="CW86" t="s">
        <v>1</v>
      </c>
      <c r="CX86" t="s">
        <v>1</v>
      </c>
      <c r="CY86" t="s">
        <v>1</v>
      </c>
      <c r="CZ86" t="s">
        <v>1</v>
      </c>
      <c r="DA86" t="s">
        <v>734</v>
      </c>
      <c r="DB86">
        <v>43.6</v>
      </c>
      <c r="DC86">
        <v>0</v>
      </c>
      <c r="DD86">
        <v>30</v>
      </c>
      <c r="DE86" s="26" t="s">
        <v>1358</v>
      </c>
      <c r="DF86" t="s">
        <v>735</v>
      </c>
      <c r="DG86">
        <v>25.2</v>
      </c>
      <c r="DH86">
        <v>0</v>
      </c>
      <c r="DI86">
        <v>30</v>
      </c>
      <c r="DJ86" s="26" t="s">
        <v>1358</v>
      </c>
      <c r="DK86" t="s">
        <v>736</v>
      </c>
      <c r="DL86">
        <v>31.2</v>
      </c>
      <c r="DM86">
        <v>0</v>
      </c>
      <c r="DN86">
        <v>30</v>
      </c>
      <c r="DO86" s="26" t="s">
        <v>1358</v>
      </c>
      <c r="DP86" t="s">
        <v>6</v>
      </c>
      <c r="DQ86" t="s">
        <v>813</v>
      </c>
      <c r="DR86">
        <v>7.6</v>
      </c>
      <c r="DS86">
        <v>0</v>
      </c>
      <c r="DT86">
        <v>30</v>
      </c>
      <c r="DU86" s="26" t="s">
        <v>1358</v>
      </c>
      <c r="EA86" t="s">
        <v>982</v>
      </c>
      <c r="EB86">
        <v>12.9</v>
      </c>
      <c r="EC86">
        <v>0</v>
      </c>
      <c r="ED86">
        <v>30</v>
      </c>
      <c r="EE86" s="26" t="s">
        <v>1358</v>
      </c>
      <c r="EF86" s="26"/>
      <c r="FZ86" t="s">
        <v>806</v>
      </c>
      <c r="GA86">
        <v>597</v>
      </c>
      <c r="GE86" s="26" t="s">
        <v>1358</v>
      </c>
      <c r="HA86" s="5" t="s">
        <v>1</v>
      </c>
      <c r="HB86" s="4" t="s">
        <v>1</v>
      </c>
      <c r="HC86" t="s">
        <v>1</v>
      </c>
      <c r="HD86" t="s">
        <v>1</v>
      </c>
      <c r="HE86" t="s">
        <v>1</v>
      </c>
      <c r="HF86" s="5" t="s">
        <v>1</v>
      </c>
      <c r="HG86" s="4" t="s">
        <v>1</v>
      </c>
      <c r="HH86" t="s">
        <v>1</v>
      </c>
      <c r="HI86" t="s">
        <v>1</v>
      </c>
      <c r="HJ86" t="s">
        <v>1</v>
      </c>
      <c r="HK86" t="s">
        <v>815</v>
      </c>
      <c r="HL86">
        <v>1.43</v>
      </c>
      <c r="HM86">
        <v>0</v>
      </c>
      <c r="HN86">
        <v>30</v>
      </c>
      <c r="HO86" t="s">
        <v>816</v>
      </c>
      <c r="HP86" s="26" t="s">
        <v>1358</v>
      </c>
      <c r="HZ86" t="s">
        <v>1</v>
      </c>
      <c r="IA86" t="s">
        <v>1</v>
      </c>
      <c r="IB86" s="10" t="s">
        <v>1</v>
      </c>
      <c r="IC86" s="10"/>
      <c r="ID86" s="10"/>
      <c r="IE86" s="10" t="s">
        <v>1</v>
      </c>
      <c r="IF86" s="10" t="s">
        <v>1</v>
      </c>
      <c r="IG86" s="10"/>
      <c r="IH86" s="10"/>
      <c r="II86" s="10"/>
      <c r="IJ86" s="10"/>
      <c r="IK86" s="10"/>
      <c r="IL86" s="10"/>
      <c r="IM86" s="10"/>
      <c r="IN86" s="10"/>
      <c r="IO86" s="10"/>
      <c r="IP86" s="10"/>
      <c r="IQ86" s="10"/>
      <c r="IR86" s="10"/>
      <c r="IS86" t="s">
        <v>1</v>
      </c>
      <c r="IT86" t="s">
        <v>1</v>
      </c>
      <c r="IW86" t="s">
        <v>1</v>
      </c>
      <c r="IX86" t="s">
        <v>1</v>
      </c>
      <c r="IY86" t="s">
        <v>1</v>
      </c>
      <c r="IZ86" t="s">
        <v>1</v>
      </c>
      <c r="JA86" t="s">
        <v>1065</v>
      </c>
      <c r="JB86" s="3">
        <v>13</v>
      </c>
      <c r="JC86" t="s">
        <v>1</v>
      </c>
      <c r="JD86" s="4" t="s">
        <v>1</v>
      </c>
      <c r="JE86" t="s">
        <v>1</v>
      </c>
      <c r="JF86" t="s">
        <v>1</v>
      </c>
      <c r="JR86" t="s">
        <v>1066</v>
      </c>
      <c r="JS86">
        <v>4.4000000000000004</v>
      </c>
      <c r="JU86" t="s">
        <v>1</v>
      </c>
      <c r="JW86" t="s">
        <v>1</v>
      </c>
      <c r="JX86">
        <v>0</v>
      </c>
      <c r="JY86">
        <v>60</v>
      </c>
      <c r="JZ86" t="s">
        <v>800</v>
      </c>
      <c r="KA86" t="s">
        <v>90</v>
      </c>
      <c r="KB86" t="s">
        <v>738</v>
      </c>
      <c r="KC86" t="s">
        <v>1</v>
      </c>
      <c r="KD86" t="s">
        <v>1</v>
      </c>
      <c r="KE86" t="s">
        <v>1</v>
      </c>
      <c r="KF86" t="s">
        <v>1</v>
      </c>
      <c r="KG86" t="s">
        <v>1</v>
      </c>
      <c r="KH86" t="s">
        <v>1</v>
      </c>
      <c r="KI86" t="s">
        <v>1</v>
      </c>
      <c r="KJ86" t="s">
        <v>1</v>
      </c>
      <c r="KK86" t="s">
        <v>1</v>
      </c>
    </row>
    <row r="87" spans="1:297" x14ac:dyDescent="0.2">
      <c r="A87">
        <v>86</v>
      </c>
      <c r="B87" t="s">
        <v>705</v>
      </c>
      <c r="C87" t="s">
        <v>91</v>
      </c>
      <c r="D87" t="s">
        <v>88</v>
      </c>
      <c r="E87">
        <v>10</v>
      </c>
      <c r="F87" t="s">
        <v>699</v>
      </c>
      <c r="G87" t="s">
        <v>1</v>
      </c>
      <c r="H87" s="26" t="s">
        <v>1420</v>
      </c>
      <c r="I87" t="s">
        <v>1</v>
      </c>
      <c r="J87" t="s">
        <v>1</v>
      </c>
      <c r="K87" t="s">
        <v>1</v>
      </c>
      <c r="L87" t="s">
        <v>1</v>
      </c>
      <c r="M87" t="s">
        <v>1</v>
      </c>
      <c r="N87" t="s">
        <v>1</v>
      </c>
      <c r="O87" t="s">
        <v>1</v>
      </c>
      <c r="P87" t="s">
        <v>1</v>
      </c>
      <c r="Q87" t="s">
        <v>1</v>
      </c>
      <c r="R87" t="s">
        <v>1</v>
      </c>
      <c r="S87" t="s">
        <v>1</v>
      </c>
      <c r="T87" t="s">
        <v>1</v>
      </c>
      <c r="U87" t="s">
        <v>1</v>
      </c>
      <c r="V87" t="s">
        <v>1</v>
      </c>
      <c r="W87" t="s">
        <v>1</v>
      </c>
      <c r="X87" t="s">
        <v>1</v>
      </c>
      <c r="Y87" t="s">
        <v>1</v>
      </c>
      <c r="Z87" t="s">
        <v>1</v>
      </c>
      <c r="AA87" t="s">
        <v>1</v>
      </c>
      <c r="AB87" t="s">
        <v>1</v>
      </c>
      <c r="AC87" t="s">
        <v>1</v>
      </c>
      <c r="AD87" t="s">
        <v>1</v>
      </c>
      <c r="AE87" t="s">
        <v>1</v>
      </c>
      <c r="AF87" t="s">
        <v>1</v>
      </c>
      <c r="AG87" t="s">
        <v>1</v>
      </c>
      <c r="AH87" t="s">
        <v>1</v>
      </c>
      <c r="AI87" t="s">
        <v>1</v>
      </c>
      <c r="AJ87" t="s">
        <v>1</v>
      </c>
      <c r="AK87" t="s">
        <v>1</v>
      </c>
      <c r="AL87" t="s">
        <v>1</v>
      </c>
      <c r="AM87" t="s">
        <v>1</v>
      </c>
      <c r="AN87">
        <v>86</v>
      </c>
      <c r="AO87">
        <f t="shared" si="7"/>
        <v>86</v>
      </c>
      <c r="AP87">
        <f t="shared" si="5"/>
        <v>10</v>
      </c>
      <c r="AQ87">
        <f t="shared" si="6"/>
        <v>10</v>
      </c>
      <c r="AR87" s="26" t="s">
        <v>1355</v>
      </c>
      <c r="AS87" s="26" t="s">
        <v>1356</v>
      </c>
      <c r="AT87" t="s">
        <v>711</v>
      </c>
      <c r="AU87" t="s">
        <v>1</v>
      </c>
      <c r="AV87" t="s">
        <v>1</v>
      </c>
      <c r="AW87">
        <v>43.38</v>
      </c>
      <c r="AX87">
        <v>-2.83</v>
      </c>
      <c r="AY87" t="s">
        <v>737</v>
      </c>
      <c r="BA87" s="3">
        <v>4</v>
      </c>
      <c r="BB87" s="3"/>
      <c r="BC87" s="3"/>
      <c r="BD87" s="3"/>
      <c r="BE87" s="3"/>
      <c r="BF87">
        <v>2007</v>
      </c>
      <c r="BG87" s="24" t="s">
        <v>733</v>
      </c>
      <c r="BH87" s="24" t="s">
        <v>733</v>
      </c>
      <c r="BI87" s="24" t="s">
        <v>733</v>
      </c>
      <c r="BJ87" s="24" t="s">
        <v>732</v>
      </c>
      <c r="BK87" s="24" t="s">
        <v>733</v>
      </c>
      <c r="BL87" s="25" t="s">
        <v>733</v>
      </c>
      <c r="BM87" s="24" t="s">
        <v>733</v>
      </c>
      <c r="BN87" s="24" t="s">
        <v>732</v>
      </c>
      <c r="BO87" s="24" t="s">
        <v>733</v>
      </c>
      <c r="BP87" s="24" t="s">
        <v>733</v>
      </c>
      <c r="BQ87" s="24" t="s">
        <v>945</v>
      </c>
      <c r="BR87" s="24" t="s">
        <v>945</v>
      </c>
      <c r="BS87" s="25" t="s">
        <v>934</v>
      </c>
      <c r="BT87" s="24" t="s">
        <v>934</v>
      </c>
      <c r="BU87" s="24" t="s">
        <v>934</v>
      </c>
      <c r="BV87" s="24" t="s">
        <v>934</v>
      </c>
      <c r="BW87" s="24" t="s">
        <v>934</v>
      </c>
      <c r="BX87" s="24" t="s">
        <v>934</v>
      </c>
      <c r="BY87" s="25" t="s">
        <v>945</v>
      </c>
      <c r="BZ87" t="s">
        <v>1393</v>
      </c>
      <c r="CB87" t="s">
        <v>1</v>
      </c>
      <c r="CC87" s="4" t="s">
        <v>1</v>
      </c>
      <c r="CD87" s="4"/>
      <c r="CE87" s="4"/>
      <c r="CF87" t="s">
        <v>1</v>
      </c>
      <c r="CG87" t="s">
        <v>1</v>
      </c>
      <c r="CH87" t="s">
        <v>805</v>
      </c>
      <c r="CI87" s="7">
        <v>1.5</v>
      </c>
      <c r="CJ87" s="10" t="s">
        <v>1442</v>
      </c>
      <c r="CK87" s="9" t="s">
        <v>1</v>
      </c>
      <c r="CL87" s="4" t="s">
        <v>1</v>
      </c>
      <c r="CM87" t="s">
        <v>847</v>
      </c>
      <c r="CN87" s="4">
        <v>251</v>
      </c>
      <c r="CO87" s="4"/>
      <c r="CP87" s="4" t="s">
        <v>1</v>
      </c>
      <c r="CQ87" s="4" t="s">
        <v>1</v>
      </c>
      <c r="CR87" s="4" t="s">
        <v>1</v>
      </c>
      <c r="CS87" s="4" t="s">
        <v>1</v>
      </c>
      <c r="CT87" s="4" t="s">
        <v>1</v>
      </c>
      <c r="CU87" s="4" t="s">
        <v>1</v>
      </c>
      <c r="CV87" t="s">
        <v>1</v>
      </c>
      <c r="CW87" t="s">
        <v>1</v>
      </c>
      <c r="CX87" t="s">
        <v>1</v>
      </c>
      <c r="CY87" t="s">
        <v>1</v>
      </c>
      <c r="CZ87" t="s">
        <v>1</v>
      </c>
      <c r="DA87" t="s">
        <v>734</v>
      </c>
      <c r="DB87">
        <v>43.6</v>
      </c>
      <c r="DC87">
        <v>0</v>
      </c>
      <c r="DD87">
        <v>30</v>
      </c>
      <c r="DE87" s="26" t="s">
        <v>1358</v>
      </c>
      <c r="DF87" t="s">
        <v>735</v>
      </c>
      <c r="DG87">
        <v>25.2</v>
      </c>
      <c r="DH87">
        <v>0</v>
      </c>
      <c r="DI87">
        <v>30</v>
      </c>
      <c r="DJ87" s="26" t="s">
        <v>1358</v>
      </c>
      <c r="DK87" t="s">
        <v>736</v>
      </c>
      <c r="DL87">
        <v>31.2</v>
      </c>
      <c r="DM87">
        <v>0</v>
      </c>
      <c r="DN87">
        <v>30</v>
      </c>
      <c r="DO87" s="26" t="s">
        <v>1358</v>
      </c>
      <c r="DP87" t="s">
        <v>6</v>
      </c>
      <c r="DQ87" t="s">
        <v>813</v>
      </c>
      <c r="DR87">
        <v>7.6</v>
      </c>
      <c r="DS87">
        <v>0</v>
      </c>
      <c r="DT87">
        <v>30</v>
      </c>
      <c r="DU87" s="26" t="s">
        <v>1358</v>
      </c>
      <c r="EA87" t="s">
        <v>982</v>
      </c>
      <c r="EB87">
        <v>12.9</v>
      </c>
      <c r="EC87">
        <v>0</v>
      </c>
      <c r="ED87">
        <v>30</v>
      </c>
      <c r="EE87" s="26" t="s">
        <v>1358</v>
      </c>
      <c r="EF87" s="26"/>
      <c r="FZ87" t="s">
        <v>806</v>
      </c>
      <c r="GA87">
        <v>597</v>
      </c>
      <c r="GE87" s="26" t="s">
        <v>1358</v>
      </c>
      <c r="HA87" s="5" t="s">
        <v>1</v>
      </c>
      <c r="HB87" s="4" t="s">
        <v>1</v>
      </c>
      <c r="HC87" t="s">
        <v>1</v>
      </c>
      <c r="HD87" t="s">
        <v>1</v>
      </c>
      <c r="HE87" t="s">
        <v>1</v>
      </c>
      <c r="HF87" s="5" t="s">
        <v>1</v>
      </c>
      <c r="HG87" s="4" t="s">
        <v>1</v>
      </c>
      <c r="HH87" t="s">
        <v>1</v>
      </c>
      <c r="HI87" t="s">
        <v>1</v>
      </c>
      <c r="HJ87" t="s">
        <v>1</v>
      </c>
      <c r="HK87" t="s">
        <v>815</v>
      </c>
      <c r="HL87">
        <v>1.43</v>
      </c>
      <c r="HM87">
        <v>0</v>
      </c>
      <c r="HN87">
        <v>30</v>
      </c>
      <c r="HO87" t="s">
        <v>816</v>
      </c>
      <c r="HP87" s="26" t="s">
        <v>1358</v>
      </c>
      <c r="HZ87" t="s">
        <v>966</v>
      </c>
      <c r="IA87">
        <v>180</v>
      </c>
      <c r="IB87" s="10" t="s">
        <v>1</v>
      </c>
      <c r="IC87" s="10"/>
      <c r="ID87" s="10"/>
      <c r="IE87" s="10" t="s">
        <v>1</v>
      </c>
      <c r="IF87" s="10" t="s">
        <v>1</v>
      </c>
      <c r="IG87" s="10"/>
      <c r="IH87" s="10"/>
      <c r="II87" s="10"/>
      <c r="IJ87" s="10"/>
      <c r="IK87" s="10"/>
      <c r="IL87" s="10"/>
      <c r="IM87" s="10"/>
      <c r="IN87" s="10"/>
      <c r="IO87" s="10"/>
      <c r="IP87" s="10"/>
      <c r="IQ87" s="10"/>
      <c r="IR87" s="10"/>
      <c r="IS87" t="s">
        <v>1</v>
      </c>
      <c r="IT87" t="s">
        <v>1</v>
      </c>
      <c r="IW87" t="s">
        <v>1</v>
      </c>
      <c r="IX87" t="s">
        <v>1</v>
      </c>
      <c r="IY87" t="s">
        <v>1</v>
      </c>
      <c r="IZ87" t="s">
        <v>1</v>
      </c>
      <c r="JA87" t="s">
        <v>1065</v>
      </c>
      <c r="JB87" s="3">
        <v>13</v>
      </c>
      <c r="JC87" t="s">
        <v>1</v>
      </c>
      <c r="JD87" s="4" t="s">
        <v>1</v>
      </c>
      <c r="JE87" t="s">
        <v>1</v>
      </c>
      <c r="JF87" t="s">
        <v>1</v>
      </c>
      <c r="JR87" t="s">
        <v>1066</v>
      </c>
      <c r="JS87">
        <v>4.4000000000000004</v>
      </c>
      <c r="JU87" t="s">
        <v>1</v>
      </c>
      <c r="JW87" t="s">
        <v>1</v>
      </c>
      <c r="JX87">
        <v>0</v>
      </c>
      <c r="JY87">
        <v>60</v>
      </c>
      <c r="JZ87" t="s">
        <v>800</v>
      </c>
      <c r="KA87" t="s">
        <v>90</v>
      </c>
      <c r="KB87" t="s">
        <v>738</v>
      </c>
      <c r="KC87" t="s">
        <v>1</v>
      </c>
      <c r="KD87" t="s">
        <v>1</v>
      </c>
      <c r="KE87" t="s">
        <v>1</v>
      </c>
      <c r="KF87" t="s">
        <v>1</v>
      </c>
      <c r="KG87" t="s">
        <v>1</v>
      </c>
      <c r="KH87" t="s">
        <v>1</v>
      </c>
      <c r="KI87" t="s">
        <v>1</v>
      </c>
      <c r="KJ87" t="s">
        <v>1</v>
      </c>
      <c r="KK87" t="s">
        <v>1</v>
      </c>
    </row>
    <row r="88" spans="1:297" x14ac:dyDescent="0.2">
      <c r="A88">
        <v>87</v>
      </c>
      <c r="B88" t="s">
        <v>705</v>
      </c>
      <c r="C88" t="s">
        <v>92</v>
      </c>
      <c r="D88" t="s">
        <v>88</v>
      </c>
      <c r="E88">
        <v>10</v>
      </c>
      <c r="F88" t="s">
        <v>699</v>
      </c>
      <c r="G88" t="s">
        <v>1</v>
      </c>
      <c r="H88" s="26" t="s">
        <v>1420</v>
      </c>
      <c r="I88" t="s">
        <v>1</v>
      </c>
      <c r="J88" t="s">
        <v>1</v>
      </c>
      <c r="K88" t="s">
        <v>1</v>
      </c>
      <c r="L88" t="s">
        <v>1</v>
      </c>
      <c r="M88" t="s">
        <v>1</v>
      </c>
      <c r="N88" t="s">
        <v>1</v>
      </c>
      <c r="O88" t="s">
        <v>1</v>
      </c>
      <c r="P88" t="s">
        <v>1</v>
      </c>
      <c r="Q88" t="s">
        <v>1</v>
      </c>
      <c r="R88" t="s">
        <v>1</v>
      </c>
      <c r="S88" t="s">
        <v>1</v>
      </c>
      <c r="T88" t="s">
        <v>1</v>
      </c>
      <c r="U88" t="s">
        <v>1</v>
      </c>
      <c r="V88" t="s">
        <v>1</v>
      </c>
      <c r="W88" t="s">
        <v>1</v>
      </c>
      <c r="X88" t="s">
        <v>1</v>
      </c>
      <c r="Y88" t="s">
        <v>1</v>
      </c>
      <c r="Z88" t="s">
        <v>1</v>
      </c>
      <c r="AA88" t="s">
        <v>1</v>
      </c>
      <c r="AB88" t="s">
        <v>1</v>
      </c>
      <c r="AC88" t="s">
        <v>1</v>
      </c>
      <c r="AD88" t="s">
        <v>1</v>
      </c>
      <c r="AE88" t="s">
        <v>1</v>
      </c>
      <c r="AF88" t="s">
        <v>1</v>
      </c>
      <c r="AG88" t="s">
        <v>1</v>
      </c>
      <c r="AH88" t="s">
        <v>1</v>
      </c>
      <c r="AI88" t="s">
        <v>1</v>
      </c>
      <c r="AJ88" t="s">
        <v>1</v>
      </c>
      <c r="AK88" t="s">
        <v>1</v>
      </c>
      <c r="AL88" t="s">
        <v>1</v>
      </c>
      <c r="AM88" t="s">
        <v>1</v>
      </c>
      <c r="AN88">
        <v>87</v>
      </c>
      <c r="AO88">
        <f t="shared" si="7"/>
        <v>87</v>
      </c>
      <c r="AP88">
        <f t="shared" si="5"/>
        <v>10</v>
      </c>
      <c r="AQ88">
        <f t="shared" si="6"/>
        <v>10</v>
      </c>
      <c r="AR88" s="26" t="s">
        <v>1355</v>
      </c>
      <c r="AS88" s="26" t="s">
        <v>1356</v>
      </c>
      <c r="AT88" t="s">
        <v>711</v>
      </c>
      <c r="AU88" t="s">
        <v>1</v>
      </c>
      <c r="AV88" t="s">
        <v>1</v>
      </c>
      <c r="AW88">
        <v>43.38</v>
      </c>
      <c r="AX88">
        <v>-2.83</v>
      </c>
      <c r="AY88" t="s">
        <v>737</v>
      </c>
      <c r="BA88" s="3">
        <v>4</v>
      </c>
      <c r="BB88" s="3"/>
      <c r="BC88" s="3"/>
      <c r="BD88" s="3"/>
      <c r="BE88" s="3"/>
      <c r="BF88">
        <v>2007</v>
      </c>
      <c r="BG88" s="24" t="s">
        <v>733</v>
      </c>
      <c r="BH88" s="24" t="s">
        <v>733</v>
      </c>
      <c r="BI88" s="24" t="s">
        <v>733</v>
      </c>
      <c r="BJ88" s="24" t="s">
        <v>732</v>
      </c>
      <c r="BK88" s="24" t="s">
        <v>733</v>
      </c>
      <c r="BL88" s="25" t="s">
        <v>733</v>
      </c>
      <c r="BM88" s="24" t="s">
        <v>733</v>
      </c>
      <c r="BN88" s="24" t="s">
        <v>732</v>
      </c>
      <c r="BO88" s="24" t="s">
        <v>733</v>
      </c>
      <c r="BP88" s="24" t="s">
        <v>733</v>
      </c>
      <c r="BQ88" s="24" t="s">
        <v>945</v>
      </c>
      <c r="BR88" s="24" t="s">
        <v>945</v>
      </c>
      <c r="BS88" s="25" t="s">
        <v>934</v>
      </c>
      <c r="BT88" s="24" t="s">
        <v>934</v>
      </c>
      <c r="BU88" s="24" t="s">
        <v>934</v>
      </c>
      <c r="BV88" s="24" t="s">
        <v>934</v>
      </c>
      <c r="BW88" s="24" t="s">
        <v>934</v>
      </c>
      <c r="BX88" s="24" t="s">
        <v>934</v>
      </c>
      <c r="BY88" s="25" t="s">
        <v>945</v>
      </c>
      <c r="BZ88" t="s">
        <v>1393</v>
      </c>
      <c r="CB88" t="s">
        <v>1</v>
      </c>
      <c r="CC88" s="4" t="s">
        <v>1</v>
      </c>
      <c r="CD88" s="4"/>
      <c r="CE88" s="4"/>
      <c r="CF88" t="s">
        <v>1</v>
      </c>
      <c r="CG88" t="s">
        <v>1</v>
      </c>
      <c r="CH88" t="s">
        <v>805</v>
      </c>
      <c r="CI88" s="7">
        <v>1.5</v>
      </c>
      <c r="CJ88" s="10" t="s">
        <v>1442</v>
      </c>
      <c r="CK88" s="9" t="s">
        <v>1</v>
      </c>
      <c r="CL88" s="4" t="s">
        <v>1</v>
      </c>
      <c r="CM88" t="s">
        <v>847</v>
      </c>
      <c r="CN88" s="4">
        <v>270</v>
      </c>
      <c r="CO88" s="4"/>
      <c r="CP88" s="4" t="s">
        <v>1</v>
      </c>
      <c r="CQ88" s="4" t="s">
        <v>1</v>
      </c>
      <c r="CR88" s="4" t="s">
        <v>1</v>
      </c>
      <c r="CS88" s="4" t="s">
        <v>1</v>
      </c>
      <c r="CT88" s="4" t="s">
        <v>1</v>
      </c>
      <c r="CU88" s="4" t="s">
        <v>1</v>
      </c>
      <c r="CV88" t="s">
        <v>1</v>
      </c>
      <c r="CW88" t="s">
        <v>1</v>
      </c>
      <c r="CX88" t="s">
        <v>1</v>
      </c>
      <c r="CY88" t="s">
        <v>1</v>
      </c>
      <c r="CZ88" t="s">
        <v>1</v>
      </c>
      <c r="DA88" t="s">
        <v>734</v>
      </c>
      <c r="DB88">
        <v>43.6</v>
      </c>
      <c r="DC88">
        <v>0</v>
      </c>
      <c r="DD88">
        <v>30</v>
      </c>
      <c r="DE88" s="26" t="s">
        <v>1358</v>
      </c>
      <c r="DF88" t="s">
        <v>735</v>
      </c>
      <c r="DG88">
        <v>25.2</v>
      </c>
      <c r="DH88">
        <v>0</v>
      </c>
      <c r="DI88">
        <v>30</v>
      </c>
      <c r="DJ88" s="26" t="s">
        <v>1358</v>
      </c>
      <c r="DK88" t="s">
        <v>736</v>
      </c>
      <c r="DL88">
        <v>31.2</v>
      </c>
      <c r="DM88">
        <v>0</v>
      </c>
      <c r="DN88">
        <v>30</v>
      </c>
      <c r="DO88" s="26" t="s">
        <v>1358</v>
      </c>
      <c r="DP88" t="s">
        <v>6</v>
      </c>
      <c r="DQ88" t="s">
        <v>813</v>
      </c>
      <c r="DR88">
        <v>7.6</v>
      </c>
      <c r="DS88">
        <v>0</v>
      </c>
      <c r="DT88">
        <v>30</v>
      </c>
      <c r="DU88" s="26" t="s">
        <v>1358</v>
      </c>
      <c r="EA88" t="s">
        <v>982</v>
      </c>
      <c r="EB88">
        <v>12.9</v>
      </c>
      <c r="EC88">
        <v>0</v>
      </c>
      <c r="ED88">
        <v>30</v>
      </c>
      <c r="EE88" s="26" t="s">
        <v>1358</v>
      </c>
      <c r="EF88" s="26"/>
      <c r="FZ88" t="s">
        <v>806</v>
      </c>
      <c r="GA88">
        <v>597</v>
      </c>
      <c r="GE88" s="26" t="s">
        <v>1358</v>
      </c>
      <c r="HA88" s="5" t="s">
        <v>1</v>
      </c>
      <c r="HB88" s="4" t="s">
        <v>1</v>
      </c>
      <c r="HC88" t="s">
        <v>1</v>
      </c>
      <c r="HD88" t="s">
        <v>1</v>
      </c>
      <c r="HE88" t="s">
        <v>1</v>
      </c>
      <c r="HF88" s="5" t="s">
        <v>1</v>
      </c>
      <c r="HG88" s="4" t="s">
        <v>1</v>
      </c>
      <c r="HH88" t="s">
        <v>1</v>
      </c>
      <c r="HI88" t="s">
        <v>1</v>
      </c>
      <c r="HJ88" t="s">
        <v>1</v>
      </c>
      <c r="HK88" t="s">
        <v>815</v>
      </c>
      <c r="HL88">
        <v>1.43</v>
      </c>
      <c r="HM88">
        <v>0</v>
      </c>
      <c r="HN88">
        <v>30</v>
      </c>
      <c r="HO88" t="s">
        <v>816</v>
      </c>
      <c r="HP88" s="26" t="s">
        <v>1358</v>
      </c>
      <c r="HZ88" t="s">
        <v>966</v>
      </c>
      <c r="IA88">
        <v>220</v>
      </c>
      <c r="IB88" s="10" t="s">
        <v>1</v>
      </c>
      <c r="IC88" s="10"/>
      <c r="ID88" s="10"/>
      <c r="IE88" s="10" t="s">
        <v>1</v>
      </c>
      <c r="IF88" s="10" t="s">
        <v>1</v>
      </c>
      <c r="IG88" s="10"/>
      <c r="IH88" s="10"/>
      <c r="II88" s="10"/>
      <c r="IJ88" s="10"/>
      <c r="IK88" s="10"/>
      <c r="IL88" s="10"/>
      <c r="IM88" s="10"/>
      <c r="IN88" s="10"/>
      <c r="IO88" s="10"/>
      <c r="IP88" s="10"/>
      <c r="IQ88" s="10"/>
      <c r="IR88" s="10"/>
      <c r="IS88" t="s">
        <v>1</v>
      </c>
      <c r="IT88" t="s">
        <v>1</v>
      </c>
      <c r="IW88" t="s">
        <v>1</v>
      </c>
      <c r="IX88" t="s">
        <v>1</v>
      </c>
      <c r="IY88" t="s">
        <v>1</v>
      </c>
      <c r="IZ88" t="s">
        <v>1</v>
      </c>
      <c r="JA88" t="s">
        <v>1065</v>
      </c>
      <c r="JB88" s="3">
        <v>13</v>
      </c>
      <c r="JC88" t="s">
        <v>1</v>
      </c>
      <c r="JD88" s="4" t="s">
        <v>1</v>
      </c>
      <c r="JE88" t="s">
        <v>1</v>
      </c>
      <c r="JF88" t="s">
        <v>1</v>
      </c>
      <c r="JR88" t="s">
        <v>1066</v>
      </c>
      <c r="JS88">
        <v>4.4000000000000004</v>
      </c>
      <c r="JU88" t="s">
        <v>1</v>
      </c>
      <c r="JW88" t="s">
        <v>1</v>
      </c>
      <c r="JX88">
        <v>0</v>
      </c>
      <c r="JY88">
        <v>60</v>
      </c>
      <c r="JZ88" t="s">
        <v>800</v>
      </c>
      <c r="KA88" t="s">
        <v>90</v>
      </c>
      <c r="KB88" t="s">
        <v>738</v>
      </c>
      <c r="KC88" t="s">
        <v>1</v>
      </c>
      <c r="KD88" t="s">
        <v>1</v>
      </c>
      <c r="KE88" t="s">
        <v>1</v>
      </c>
      <c r="KF88" t="s">
        <v>1</v>
      </c>
      <c r="KG88" t="s">
        <v>1</v>
      </c>
      <c r="KH88" t="s">
        <v>1</v>
      </c>
      <c r="KI88" t="s">
        <v>1</v>
      </c>
      <c r="KJ88" t="s">
        <v>1</v>
      </c>
      <c r="KK88" t="s">
        <v>1</v>
      </c>
    </row>
    <row r="89" spans="1:297" x14ac:dyDescent="0.2">
      <c r="A89">
        <v>88</v>
      </c>
      <c r="B89" t="s">
        <v>705</v>
      </c>
      <c r="C89" t="s">
        <v>89</v>
      </c>
      <c r="D89" t="s">
        <v>88</v>
      </c>
      <c r="E89">
        <v>10</v>
      </c>
      <c r="F89" t="s">
        <v>699</v>
      </c>
      <c r="G89" t="s">
        <v>1</v>
      </c>
      <c r="H89" s="26" t="s">
        <v>1420</v>
      </c>
      <c r="I89" t="s">
        <v>1</v>
      </c>
      <c r="J89" t="s">
        <v>1</v>
      </c>
      <c r="K89" t="s">
        <v>1</v>
      </c>
      <c r="L89" t="s">
        <v>1</v>
      </c>
      <c r="M89" t="s">
        <v>1</v>
      </c>
      <c r="N89" t="s">
        <v>1</v>
      </c>
      <c r="O89" t="s">
        <v>1</v>
      </c>
      <c r="P89" t="s">
        <v>1</v>
      </c>
      <c r="Q89" t="s">
        <v>1</v>
      </c>
      <c r="R89" t="s">
        <v>1</v>
      </c>
      <c r="S89" t="s">
        <v>1</v>
      </c>
      <c r="T89" t="s">
        <v>1</v>
      </c>
      <c r="U89" t="s">
        <v>1</v>
      </c>
      <c r="V89" t="s">
        <v>1</v>
      </c>
      <c r="W89" t="s">
        <v>1</v>
      </c>
      <c r="X89" t="s">
        <v>1</v>
      </c>
      <c r="Y89" t="s">
        <v>1</v>
      </c>
      <c r="Z89" t="s">
        <v>1</v>
      </c>
      <c r="AA89" t="s">
        <v>1</v>
      </c>
      <c r="AB89" t="s">
        <v>1</v>
      </c>
      <c r="AC89" t="s">
        <v>1</v>
      </c>
      <c r="AD89" t="s">
        <v>1</v>
      </c>
      <c r="AE89" t="s">
        <v>1</v>
      </c>
      <c r="AF89" t="s">
        <v>1</v>
      </c>
      <c r="AG89" t="s">
        <v>1</v>
      </c>
      <c r="AH89" t="s">
        <v>1</v>
      </c>
      <c r="AI89" t="s">
        <v>1</v>
      </c>
      <c r="AJ89" t="s">
        <v>1</v>
      </c>
      <c r="AK89" t="s">
        <v>1</v>
      </c>
      <c r="AL89" t="s">
        <v>1</v>
      </c>
      <c r="AM89" t="s">
        <v>1</v>
      </c>
      <c r="AN89">
        <v>88</v>
      </c>
      <c r="AO89">
        <f t="shared" si="7"/>
        <v>88</v>
      </c>
      <c r="AP89">
        <f t="shared" si="5"/>
        <v>10</v>
      </c>
      <c r="AQ89">
        <f t="shared" si="6"/>
        <v>10</v>
      </c>
      <c r="AR89" s="26" t="s">
        <v>1355</v>
      </c>
      <c r="AS89" s="26" t="s">
        <v>1356</v>
      </c>
      <c r="AT89" t="s">
        <v>711</v>
      </c>
      <c r="AU89" t="s">
        <v>1</v>
      </c>
      <c r="AV89" t="s">
        <v>1</v>
      </c>
      <c r="AW89">
        <v>43.38</v>
      </c>
      <c r="AX89">
        <v>-2.83</v>
      </c>
      <c r="AY89" t="s">
        <v>737</v>
      </c>
      <c r="BA89" s="3">
        <v>4</v>
      </c>
      <c r="BB89" s="3"/>
      <c r="BC89" s="3"/>
      <c r="BD89" s="3"/>
      <c r="BE89" s="3"/>
      <c r="BF89">
        <v>2008</v>
      </c>
      <c r="BG89" s="24" t="s">
        <v>733</v>
      </c>
      <c r="BH89" s="24" t="s">
        <v>733</v>
      </c>
      <c r="BI89" s="24" t="s">
        <v>733</v>
      </c>
      <c r="BJ89" s="24" t="s">
        <v>732</v>
      </c>
      <c r="BK89" s="24" t="s">
        <v>733</v>
      </c>
      <c r="BL89" s="25" t="s">
        <v>733</v>
      </c>
      <c r="BM89" s="24" t="s">
        <v>733</v>
      </c>
      <c r="BN89" s="24" t="s">
        <v>732</v>
      </c>
      <c r="BO89" s="24" t="s">
        <v>733</v>
      </c>
      <c r="BP89" s="24" t="s">
        <v>733</v>
      </c>
      <c r="BQ89" s="24" t="s">
        <v>945</v>
      </c>
      <c r="BR89" s="24" t="s">
        <v>945</v>
      </c>
      <c r="BS89" s="25" t="s">
        <v>934</v>
      </c>
      <c r="BT89" s="24" t="s">
        <v>934</v>
      </c>
      <c r="BU89" s="24" t="s">
        <v>934</v>
      </c>
      <c r="BV89" s="24" t="s">
        <v>934</v>
      </c>
      <c r="BW89" s="24" t="s">
        <v>934</v>
      </c>
      <c r="BX89" s="24" t="s">
        <v>934</v>
      </c>
      <c r="BY89" s="25" t="s">
        <v>945</v>
      </c>
      <c r="BZ89" t="s">
        <v>62</v>
      </c>
      <c r="CB89" t="s">
        <v>63</v>
      </c>
      <c r="CC89" s="4" t="s">
        <v>1</v>
      </c>
      <c r="CD89" s="4"/>
      <c r="CE89" s="4"/>
      <c r="CF89" t="s">
        <v>1</v>
      </c>
      <c r="CG89" t="s">
        <v>1</v>
      </c>
      <c r="CH89" t="s">
        <v>805</v>
      </c>
      <c r="CI89" s="7">
        <v>1.7</v>
      </c>
      <c r="CJ89" s="10" t="s">
        <v>1442</v>
      </c>
      <c r="CK89" s="9" t="s">
        <v>1</v>
      </c>
      <c r="CL89" s="4" t="s">
        <v>1</v>
      </c>
      <c r="CM89" t="s">
        <v>847</v>
      </c>
      <c r="CN89" s="4">
        <v>72</v>
      </c>
      <c r="CO89" s="4"/>
      <c r="CP89" s="4" t="s">
        <v>1</v>
      </c>
      <c r="CQ89" s="4" t="s">
        <v>1</v>
      </c>
      <c r="CR89" s="4" t="s">
        <v>1</v>
      </c>
      <c r="CS89" s="4" t="s">
        <v>1</v>
      </c>
      <c r="CT89" s="4" t="s">
        <v>1</v>
      </c>
      <c r="CU89" s="4" t="s">
        <v>1</v>
      </c>
      <c r="CV89" t="s">
        <v>1</v>
      </c>
      <c r="CW89" t="s">
        <v>1</v>
      </c>
      <c r="CX89" t="s">
        <v>1</v>
      </c>
      <c r="CY89" t="s">
        <v>1</v>
      </c>
      <c r="CZ89" t="s">
        <v>1</v>
      </c>
      <c r="DA89" t="s">
        <v>734</v>
      </c>
      <c r="DB89">
        <v>43.6</v>
      </c>
      <c r="DC89">
        <v>0</v>
      </c>
      <c r="DD89">
        <v>30</v>
      </c>
      <c r="DE89" s="26" t="s">
        <v>1358</v>
      </c>
      <c r="DF89" t="s">
        <v>735</v>
      </c>
      <c r="DG89">
        <v>25.2</v>
      </c>
      <c r="DH89">
        <v>0</v>
      </c>
      <c r="DI89">
        <v>30</v>
      </c>
      <c r="DJ89" s="26" t="s">
        <v>1358</v>
      </c>
      <c r="DK89" t="s">
        <v>736</v>
      </c>
      <c r="DL89">
        <v>31.2</v>
      </c>
      <c r="DM89">
        <v>0</v>
      </c>
      <c r="DN89">
        <v>30</v>
      </c>
      <c r="DO89" s="26" t="s">
        <v>1358</v>
      </c>
      <c r="DP89" t="s">
        <v>6</v>
      </c>
      <c r="DQ89" t="s">
        <v>813</v>
      </c>
      <c r="DR89">
        <v>7.6</v>
      </c>
      <c r="DS89">
        <v>0</v>
      </c>
      <c r="DT89">
        <v>30</v>
      </c>
      <c r="DU89" s="26" t="s">
        <v>1358</v>
      </c>
      <c r="EA89" t="s">
        <v>982</v>
      </c>
      <c r="EB89">
        <v>12.9</v>
      </c>
      <c r="EC89">
        <v>0</v>
      </c>
      <c r="ED89">
        <v>30</v>
      </c>
      <c r="EE89" s="26" t="s">
        <v>1358</v>
      </c>
      <c r="EF89" s="26"/>
      <c r="FZ89" t="s">
        <v>806</v>
      </c>
      <c r="GA89">
        <v>596</v>
      </c>
      <c r="GE89" s="26" t="s">
        <v>1358</v>
      </c>
      <c r="HA89" s="5" t="s">
        <v>1</v>
      </c>
      <c r="HB89" s="4" t="s">
        <v>1</v>
      </c>
      <c r="HC89" t="s">
        <v>1</v>
      </c>
      <c r="HD89" t="s">
        <v>1</v>
      </c>
      <c r="HE89" t="s">
        <v>1</v>
      </c>
      <c r="HF89" s="5" t="s">
        <v>1</v>
      </c>
      <c r="HG89" s="4" t="s">
        <v>1</v>
      </c>
      <c r="HH89" t="s">
        <v>1</v>
      </c>
      <c r="HI89" t="s">
        <v>1</v>
      </c>
      <c r="HJ89" t="s">
        <v>1</v>
      </c>
      <c r="HK89" t="s">
        <v>815</v>
      </c>
      <c r="HL89">
        <v>1.43</v>
      </c>
      <c r="HM89">
        <v>0</v>
      </c>
      <c r="HN89">
        <v>30</v>
      </c>
      <c r="HO89" t="s">
        <v>816</v>
      </c>
      <c r="HP89" s="26" t="s">
        <v>1358</v>
      </c>
      <c r="HZ89" t="s">
        <v>1</v>
      </c>
      <c r="IA89" t="s">
        <v>1</v>
      </c>
      <c r="IB89" s="10" t="s">
        <v>1</v>
      </c>
      <c r="IC89" s="10"/>
      <c r="ID89" s="10"/>
      <c r="IE89" s="10" t="s">
        <v>1</v>
      </c>
      <c r="IF89" s="10" t="s">
        <v>1</v>
      </c>
      <c r="IG89" s="10"/>
      <c r="IH89" s="10"/>
      <c r="II89" s="10"/>
      <c r="IJ89" s="10"/>
      <c r="IK89" s="10"/>
      <c r="IL89" s="10"/>
      <c r="IM89" s="10"/>
      <c r="IN89" s="10"/>
      <c r="IO89" s="10"/>
      <c r="IP89" s="10"/>
      <c r="IQ89" s="10"/>
      <c r="IR89" s="10"/>
      <c r="IS89" t="s">
        <v>1</v>
      </c>
      <c r="IT89" t="s">
        <v>1</v>
      </c>
      <c r="IW89" t="s">
        <v>1</v>
      </c>
      <c r="IX89" t="s">
        <v>1</v>
      </c>
      <c r="IY89" t="s">
        <v>1</v>
      </c>
      <c r="IZ89" t="s">
        <v>1</v>
      </c>
      <c r="JA89" t="s">
        <v>1065</v>
      </c>
      <c r="JB89" s="3">
        <v>10</v>
      </c>
      <c r="JC89" t="s">
        <v>1</v>
      </c>
      <c r="JD89" s="4" t="s">
        <v>1</v>
      </c>
      <c r="JE89" t="s">
        <v>1</v>
      </c>
      <c r="JF89" t="s">
        <v>1</v>
      </c>
      <c r="JR89" t="s">
        <v>1066</v>
      </c>
      <c r="JS89">
        <v>35.4</v>
      </c>
      <c r="JU89" t="s">
        <v>1</v>
      </c>
      <c r="JW89" t="s">
        <v>1</v>
      </c>
      <c r="JX89">
        <v>0</v>
      </c>
      <c r="JY89">
        <v>60</v>
      </c>
      <c r="JZ89" t="s">
        <v>800</v>
      </c>
      <c r="KA89" t="s">
        <v>90</v>
      </c>
      <c r="KB89" t="s">
        <v>738</v>
      </c>
      <c r="KC89" t="s">
        <v>1</v>
      </c>
      <c r="KD89" t="s">
        <v>1</v>
      </c>
      <c r="KE89" t="s">
        <v>1</v>
      </c>
      <c r="KF89" t="s">
        <v>1</v>
      </c>
      <c r="KG89" t="s">
        <v>1</v>
      </c>
      <c r="KH89" t="s">
        <v>1</v>
      </c>
      <c r="KI89" t="s">
        <v>1</v>
      </c>
      <c r="KJ89" t="s">
        <v>1</v>
      </c>
      <c r="KK89" t="s">
        <v>1</v>
      </c>
    </row>
    <row r="90" spans="1:297" x14ac:dyDescent="0.2">
      <c r="A90">
        <v>89</v>
      </c>
      <c r="B90" t="s">
        <v>705</v>
      </c>
      <c r="C90" t="s">
        <v>91</v>
      </c>
      <c r="D90" t="s">
        <v>88</v>
      </c>
      <c r="E90">
        <v>10</v>
      </c>
      <c r="F90" t="s">
        <v>699</v>
      </c>
      <c r="G90" t="s">
        <v>1</v>
      </c>
      <c r="H90" s="26" t="s">
        <v>1420</v>
      </c>
      <c r="I90" t="s">
        <v>1</v>
      </c>
      <c r="J90" t="s">
        <v>1</v>
      </c>
      <c r="K90" t="s">
        <v>1</v>
      </c>
      <c r="L90" t="s">
        <v>1</v>
      </c>
      <c r="M90" t="s">
        <v>1</v>
      </c>
      <c r="N90" t="s">
        <v>1</v>
      </c>
      <c r="O90" t="s">
        <v>1</v>
      </c>
      <c r="P90" t="s">
        <v>1</v>
      </c>
      <c r="Q90" t="s">
        <v>1</v>
      </c>
      <c r="R90" t="s">
        <v>1</v>
      </c>
      <c r="S90" t="s">
        <v>1</v>
      </c>
      <c r="T90" t="s">
        <v>1</v>
      </c>
      <c r="U90" t="s">
        <v>1</v>
      </c>
      <c r="V90" t="s">
        <v>1</v>
      </c>
      <c r="W90" t="s">
        <v>1</v>
      </c>
      <c r="X90" t="s">
        <v>1</v>
      </c>
      <c r="Y90" t="s">
        <v>1</v>
      </c>
      <c r="Z90" t="s">
        <v>1</v>
      </c>
      <c r="AA90" t="s">
        <v>1</v>
      </c>
      <c r="AB90" t="s">
        <v>1</v>
      </c>
      <c r="AC90" t="s">
        <v>1</v>
      </c>
      <c r="AD90" t="s">
        <v>1</v>
      </c>
      <c r="AE90" t="s">
        <v>1</v>
      </c>
      <c r="AF90" t="s">
        <v>1</v>
      </c>
      <c r="AG90" t="s">
        <v>1</v>
      </c>
      <c r="AH90" t="s">
        <v>1</v>
      </c>
      <c r="AI90" t="s">
        <v>1</v>
      </c>
      <c r="AJ90" t="s">
        <v>1</v>
      </c>
      <c r="AK90" t="s">
        <v>1</v>
      </c>
      <c r="AL90" t="s">
        <v>1</v>
      </c>
      <c r="AM90" t="s">
        <v>1</v>
      </c>
      <c r="AN90">
        <v>89</v>
      </c>
      <c r="AO90">
        <f t="shared" si="7"/>
        <v>89</v>
      </c>
      <c r="AP90">
        <f t="shared" si="5"/>
        <v>10</v>
      </c>
      <c r="AQ90">
        <f t="shared" si="6"/>
        <v>10</v>
      </c>
      <c r="AR90" s="26" t="s">
        <v>1355</v>
      </c>
      <c r="AS90" s="26" t="s">
        <v>1356</v>
      </c>
      <c r="AT90" t="s">
        <v>711</v>
      </c>
      <c r="AU90" t="s">
        <v>1</v>
      </c>
      <c r="AV90" t="s">
        <v>1</v>
      </c>
      <c r="AW90">
        <v>43.38</v>
      </c>
      <c r="AX90">
        <v>-2.83</v>
      </c>
      <c r="AY90" t="s">
        <v>737</v>
      </c>
      <c r="BA90" s="3">
        <v>4</v>
      </c>
      <c r="BB90" s="3"/>
      <c r="BC90" s="3"/>
      <c r="BD90" s="3"/>
      <c r="BE90" s="3"/>
      <c r="BF90">
        <v>2008</v>
      </c>
      <c r="BG90" s="24" t="s">
        <v>733</v>
      </c>
      <c r="BH90" s="24" t="s">
        <v>733</v>
      </c>
      <c r="BI90" s="24" t="s">
        <v>733</v>
      </c>
      <c r="BJ90" s="24" t="s">
        <v>732</v>
      </c>
      <c r="BK90" s="24" t="s">
        <v>733</v>
      </c>
      <c r="BL90" s="25" t="s">
        <v>733</v>
      </c>
      <c r="BM90" s="24" t="s">
        <v>733</v>
      </c>
      <c r="BN90" s="24" t="s">
        <v>732</v>
      </c>
      <c r="BO90" s="24" t="s">
        <v>733</v>
      </c>
      <c r="BP90" s="24" t="s">
        <v>733</v>
      </c>
      <c r="BQ90" s="24" t="s">
        <v>945</v>
      </c>
      <c r="BR90" s="24" t="s">
        <v>945</v>
      </c>
      <c r="BS90" s="25" t="s">
        <v>934</v>
      </c>
      <c r="BT90" s="24" t="s">
        <v>934</v>
      </c>
      <c r="BU90" s="24" t="s">
        <v>934</v>
      </c>
      <c r="BV90" s="24" t="s">
        <v>934</v>
      </c>
      <c r="BW90" s="24" t="s">
        <v>934</v>
      </c>
      <c r="BX90" s="24" t="s">
        <v>934</v>
      </c>
      <c r="BY90" s="25" t="s">
        <v>945</v>
      </c>
      <c r="BZ90" t="s">
        <v>62</v>
      </c>
      <c r="CB90" t="s">
        <v>63</v>
      </c>
      <c r="CC90" s="4" t="s">
        <v>1</v>
      </c>
      <c r="CD90" s="4"/>
      <c r="CE90" s="4"/>
      <c r="CF90" t="s">
        <v>1</v>
      </c>
      <c r="CG90" t="s">
        <v>1</v>
      </c>
      <c r="CH90" t="s">
        <v>805</v>
      </c>
      <c r="CI90" s="7">
        <v>1.7</v>
      </c>
      <c r="CJ90" s="10" t="s">
        <v>1442</v>
      </c>
      <c r="CK90" s="9" t="s">
        <v>1</v>
      </c>
      <c r="CL90" s="4" t="s">
        <v>1</v>
      </c>
      <c r="CM90" t="s">
        <v>847</v>
      </c>
      <c r="CN90" s="4">
        <v>179</v>
      </c>
      <c r="CO90" s="4"/>
      <c r="CP90" s="4" t="s">
        <v>1</v>
      </c>
      <c r="CQ90" s="4" t="s">
        <v>1</v>
      </c>
      <c r="CR90" s="4" t="s">
        <v>1</v>
      </c>
      <c r="CS90" s="4" t="s">
        <v>1</v>
      </c>
      <c r="CT90" s="4" t="s">
        <v>1</v>
      </c>
      <c r="CU90" s="4" t="s">
        <v>1</v>
      </c>
      <c r="CV90" t="s">
        <v>1</v>
      </c>
      <c r="CW90" t="s">
        <v>1</v>
      </c>
      <c r="CX90" t="s">
        <v>1</v>
      </c>
      <c r="CY90" t="s">
        <v>1</v>
      </c>
      <c r="CZ90" t="s">
        <v>1</v>
      </c>
      <c r="DA90" t="s">
        <v>734</v>
      </c>
      <c r="DB90">
        <v>43.6</v>
      </c>
      <c r="DC90">
        <v>0</v>
      </c>
      <c r="DD90">
        <v>30</v>
      </c>
      <c r="DE90" s="26" t="s">
        <v>1358</v>
      </c>
      <c r="DF90" t="s">
        <v>735</v>
      </c>
      <c r="DG90">
        <v>25.2</v>
      </c>
      <c r="DH90">
        <v>0</v>
      </c>
      <c r="DI90">
        <v>30</v>
      </c>
      <c r="DJ90" s="26" t="s">
        <v>1358</v>
      </c>
      <c r="DK90" t="s">
        <v>736</v>
      </c>
      <c r="DL90">
        <v>31.2</v>
      </c>
      <c r="DM90">
        <v>0</v>
      </c>
      <c r="DN90">
        <v>30</v>
      </c>
      <c r="DO90" s="26" t="s">
        <v>1358</v>
      </c>
      <c r="DP90" t="s">
        <v>6</v>
      </c>
      <c r="DQ90" t="s">
        <v>813</v>
      </c>
      <c r="DR90">
        <v>7.6</v>
      </c>
      <c r="DS90">
        <v>0</v>
      </c>
      <c r="DT90">
        <v>30</v>
      </c>
      <c r="DU90" s="26" t="s">
        <v>1358</v>
      </c>
      <c r="EA90" t="s">
        <v>982</v>
      </c>
      <c r="EB90">
        <v>12.9</v>
      </c>
      <c r="EC90">
        <v>0</v>
      </c>
      <c r="ED90">
        <v>30</v>
      </c>
      <c r="EE90" s="26" t="s">
        <v>1358</v>
      </c>
      <c r="EF90" s="26"/>
      <c r="FZ90" t="s">
        <v>806</v>
      </c>
      <c r="GA90">
        <v>596</v>
      </c>
      <c r="GE90" s="26" t="s">
        <v>1358</v>
      </c>
      <c r="HA90" s="5" t="s">
        <v>1</v>
      </c>
      <c r="HB90" s="4" t="s">
        <v>1</v>
      </c>
      <c r="HC90" t="s">
        <v>1</v>
      </c>
      <c r="HD90" t="s">
        <v>1</v>
      </c>
      <c r="HE90" t="s">
        <v>1</v>
      </c>
      <c r="HF90" s="5" t="s">
        <v>1</v>
      </c>
      <c r="HG90" s="4" t="s">
        <v>1</v>
      </c>
      <c r="HH90" t="s">
        <v>1</v>
      </c>
      <c r="HI90" t="s">
        <v>1</v>
      </c>
      <c r="HJ90" t="s">
        <v>1</v>
      </c>
      <c r="HK90" t="s">
        <v>815</v>
      </c>
      <c r="HL90">
        <v>1.43</v>
      </c>
      <c r="HM90">
        <v>0</v>
      </c>
      <c r="HN90">
        <v>30</v>
      </c>
      <c r="HO90" t="s">
        <v>816</v>
      </c>
      <c r="HP90" s="26" t="s">
        <v>1358</v>
      </c>
      <c r="HZ90" t="s">
        <v>966</v>
      </c>
      <c r="IA90">
        <v>180</v>
      </c>
      <c r="IB90" s="10" t="s">
        <v>1</v>
      </c>
      <c r="IC90" s="10"/>
      <c r="ID90" s="10"/>
      <c r="IE90" s="10" t="s">
        <v>1</v>
      </c>
      <c r="IF90" s="10" t="s">
        <v>1</v>
      </c>
      <c r="IG90" s="10"/>
      <c r="IH90" s="10"/>
      <c r="II90" s="10"/>
      <c r="IJ90" s="10"/>
      <c r="IK90" s="10"/>
      <c r="IL90" s="10"/>
      <c r="IM90" s="10"/>
      <c r="IN90" s="10"/>
      <c r="IO90" s="10"/>
      <c r="IP90" s="10"/>
      <c r="IQ90" s="10"/>
      <c r="IR90" s="10"/>
      <c r="IS90" t="s">
        <v>1</v>
      </c>
      <c r="IT90" t="s">
        <v>1</v>
      </c>
      <c r="IW90" t="s">
        <v>1</v>
      </c>
      <c r="IX90" t="s">
        <v>1</v>
      </c>
      <c r="IY90" t="s">
        <v>1</v>
      </c>
      <c r="IZ90" t="s">
        <v>1</v>
      </c>
      <c r="JA90" t="s">
        <v>1065</v>
      </c>
      <c r="JB90" s="3">
        <v>10</v>
      </c>
      <c r="JC90" t="s">
        <v>1</v>
      </c>
      <c r="JD90" s="4" t="s">
        <v>1</v>
      </c>
      <c r="JE90" t="s">
        <v>1</v>
      </c>
      <c r="JF90" t="s">
        <v>1</v>
      </c>
      <c r="JR90" t="s">
        <v>1066</v>
      </c>
      <c r="JS90">
        <v>53.1</v>
      </c>
      <c r="JU90" t="s">
        <v>1</v>
      </c>
      <c r="JW90" t="s">
        <v>1</v>
      </c>
      <c r="JX90">
        <v>0</v>
      </c>
      <c r="JY90">
        <v>60</v>
      </c>
      <c r="JZ90" t="s">
        <v>800</v>
      </c>
      <c r="KA90" t="s">
        <v>90</v>
      </c>
      <c r="KB90" t="s">
        <v>738</v>
      </c>
      <c r="KC90" t="s">
        <v>1</v>
      </c>
      <c r="KD90" t="s">
        <v>1</v>
      </c>
      <c r="KE90" t="s">
        <v>1</v>
      </c>
      <c r="KF90" t="s">
        <v>1</v>
      </c>
      <c r="KG90" t="s">
        <v>1</v>
      </c>
      <c r="KH90" t="s">
        <v>1</v>
      </c>
      <c r="KI90" t="s">
        <v>1</v>
      </c>
      <c r="KJ90" t="s">
        <v>1</v>
      </c>
      <c r="KK90" t="s">
        <v>1</v>
      </c>
    </row>
    <row r="91" spans="1:297" x14ac:dyDescent="0.2">
      <c r="A91">
        <v>90</v>
      </c>
      <c r="B91" t="s">
        <v>705</v>
      </c>
      <c r="C91" t="s">
        <v>92</v>
      </c>
      <c r="D91" t="s">
        <v>88</v>
      </c>
      <c r="E91">
        <v>10</v>
      </c>
      <c r="F91" t="s">
        <v>699</v>
      </c>
      <c r="G91" t="s">
        <v>1</v>
      </c>
      <c r="H91" s="26" t="s">
        <v>1420</v>
      </c>
      <c r="I91" t="s">
        <v>1</v>
      </c>
      <c r="J91" t="s">
        <v>1</v>
      </c>
      <c r="K91" t="s">
        <v>1</v>
      </c>
      <c r="L91" t="s">
        <v>1</v>
      </c>
      <c r="M91" t="s">
        <v>1</v>
      </c>
      <c r="N91" t="s">
        <v>1</v>
      </c>
      <c r="O91" t="s">
        <v>1</v>
      </c>
      <c r="P91" t="s">
        <v>1</v>
      </c>
      <c r="Q91" t="s">
        <v>1</v>
      </c>
      <c r="R91" t="s">
        <v>1</v>
      </c>
      <c r="S91" t="s">
        <v>1</v>
      </c>
      <c r="T91" t="s">
        <v>1</v>
      </c>
      <c r="U91" t="s">
        <v>1</v>
      </c>
      <c r="V91" t="s">
        <v>1</v>
      </c>
      <c r="W91" t="s">
        <v>1</v>
      </c>
      <c r="X91" t="s">
        <v>1</v>
      </c>
      <c r="Y91" t="s">
        <v>1</v>
      </c>
      <c r="Z91" t="s">
        <v>1</v>
      </c>
      <c r="AA91" t="s">
        <v>1</v>
      </c>
      <c r="AB91" t="s">
        <v>1</v>
      </c>
      <c r="AC91" t="s">
        <v>1</v>
      </c>
      <c r="AD91" t="s">
        <v>1</v>
      </c>
      <c r="AE91" t="s">
        <v>1</v>
      </c>
      <c r="AF91" t="s">
        <v>1</v>
      </c>
      <c r="AG91" t="s">
        <v>1</v>
      </c>
      <c r="AH91" t="s">
        <v>1</v>
      </c>
      <c r="AI91" t="s">
        <v>1</v>
      </c>
      <c r="AJ91" t="s">
        <v>1</v>
      </c>
      <c r="AK91" t="s">
        <v>1</v>
      </c>
      <c r="AL91" t="s">
        <v>1</v>
      </c>
      <c r="AM91" t="s">
        <v>1</v>
      </c>
      <c r="AN91">
        <v>90</v>
      </c>
      <c r="AO91">
        <f t="shared" si="7"/>
        <v>90</v>
      </c>
      <c r="AP91">
        <f t="shared" si="5"/>
        <v>10</v>
      </c>
      <c r="AQ91">
        <f t="shared" si="6"/>
        <v>10</v>
      </c>
      <c r="AR91" s="26" t="s">
        <v>1355</v>
      </c>
      <c r="AS91" s="26" t="s">
        <v>1356</v>
      </c>
      <c r="AT91" t="s">
        <v>711</v>
      </c>
      <c r="AU91" t="s">
        <v>1</v>
      </c>
      <c r="AV91" t="s">
        <v>1</v>
      </c>
      <c r="AW91">
        <v>43.38</v>
      </c>
      <c r="AX91">
        <v>-2.83</v>
      </c>
      <c r="AY91" t="s">
        <v>737</v>
      </c>
      <c r="BA91" s="3">
        <v>4</v>
      </c>
      <c r="BB91" s="3"/>
      <c r="BC91" s="3"/>
      <c r="BD91" s="3"/>
      <c r="BE91" s="3"/>
      <c r="BF91">
        <v>2008</v>
      </c>
      <c r="BG91" s="24" t="s">
        <v>733</v>
      </c>
      <c r="BH91" s="24" t="s">
        <v>733</v>
      </c>
      <c r="BI91" s="24" t="s">
        <v>733</v>
      </c>
      <c r="BJ91" s="24" t="s">
        <v>732</v>
      </c>
      <c r="BK91" s="24" t="s">
        <v>733</v>
      </c>
      <c r="BL91" s="25" t="s">
        <v>733</v>
      </c>
      <c r="BM91" s="24" t="s">
        <v>733</v>
      </c>
      <c r="BN91" s="24" t="s">
        <v>732</v>
      </c>
      <c r="BO91" s="24" t="s">
        <v>733</v>
      </c>
      <c r="BP91" s="24" t="s">
        <v>733</v>
      </c>
      <c r="BQ91" s="24" t="s">
        <v>945</v>
      </c>
      <c r="BR91" s="24" t="s">
        <v>945</v>
      </c>
      <c r="BS91" s="25" t="s">
        <v>934</v>
      </c>
      <c r="BT91" s="24" t="s">
        <v>934</v>
      </c>
      <c r="BU91" s="24" t="s">
        <v>934</v>
      </c>
      <c r="BV91" s="24" t="s">
        <v>934</v>
      </c>
      <c r="BW91" s="24" t="s">
        <v>934</v>
      </c>
      <c r="BX91" s="24" t="s">
        <v>934</v>
      </c>
      <c r="BY91" s="25" t="s">
        <v>945</v>
      </c>
      <c r="BZ91" t="s">
        <v>62</v>
      </c>
      <c r="CB91" t="s">
        <v>63</v>
      </c>
      <c r="CC91" s="4" t="s">
        <v>1</v>
      </c>
      <c r="CD91" s="4"/>
      <c r="CE91" s="4"/>
      <c r="CF91" t="s">
        <v>1</v>
      </c>
      <c r="CG91" t="s">
        <v>1</v>
      </c>
      <c r="CH91" t="s">
        <v>805</v>
      </c>
      <c r="CI91" s="7">
        <v>1.7</v>
      </c>
      <c r="CJ91" s="10" t="s">
        <v>1442</v>
      </c>
      <c r="CK91" s="9" t="s">
        <v>1</v>
      </c>
      <c r="CL91" s="4" t="s">
        <v>1</v>
      </c>
      <c r="CM91" t="s">
        <v>847</v>
      </c>
      <c r="CN91" s="4">
        <v>192</v>
      </c>
      <c r="CO91" s="4"/>
      <c r="CP91" s="4" t="s">
        <v>1</v>
      </c>
      <c r="CQ91" s="4" t="s">
        <v>1</v>
      </c>
      <c r="CR91" s="4" t="s">
        <v>1</v>
      </c>
      <c r="CS91" s="4" t="s">
        <v>1</v>
      </c>
      <c r="CT91" s="4" t="s">
        <v>1</v>
      </c>
      <c r="CU91" s="4" t="s">
        <v>1</v>
      </c>
      <c r="CV91" t="s">
        <v>1</v>
      </c>
      <c r="CW91" t="s">
        <v>1</v>
      </c>
      <c r="CX91" t="s">
        <v>1</v>
      </c>
      <c r="CY91" t="s">
        <v>1</v>
      </c>
      <c r="CZ91" t="s">
        <v>1</v>
      </c>
      <c r="DA91" t="s">
        <v>734</v>
      </c>
      <c r="DB91">
        <v>43.6</v>
      </c>
      <c r="DC91">
        <v>0</v>
      </c>
      <c r="DD91">
        <v>30</v>
      </c>
      <c r="DE91" s="26" t="s">
        <v>1358</v>
      </c>
      <c r="DF91" t="s">
        <v>735</v>
      </c>
      <c r="DG91">
        <v>25.2</v>
      </c>
      <c r="DH91">
        <v>0</v>
      </c>
      <c r="DI91">
        <v>30</v>
      </c>
      <c r="DJ91" s="26" t="s">
        <v>1358</v>
      </c>
      <c r="DK91" t="s">
        <v>736</v>
      </c>
      <c r="DL91">
        <v>31.2</v>
      </c>
      <c r="DM91">
        <v>0</v>
      </c>
      <c r="DN91">
        <v>30</v>
      </c>
      <c r="DO91" s="26" t="s">
        <v>1358</v>
      </c>
      <c r="DP91" t="s">
        <v>6</v>
      </c>
      <c r="DQ91" t="s">
        <v>813</v>
      </c>
      <c r="DR91">
        <v>7.6</v>
      </c>
      <c r="DS91">
        <v>0</v>
      </c>
      <c r="DT91">
        <v>30</v>
      </c>
      <c r="DU91" s="26" t="s">
        <v>1358</v>
      </c>
      <c r="EA91" t="s">
        <v>982</v>
      </c>
      <c r="EB91">
        <v>12.9</v>
      </c>
      <c r="EC91">
        <v>0</v>
      </c>
      <c r="ED91">
        <v>30</v>
      </c>
      <c r="EE91" s="26" t="s">
        <v>1358</v>
      </c>
      <c r="EF91" s="26"/>
      <c r="FZ91" t="s">
        <v>806</v>
      </c>
      <c r="GA91">
        <v>596</v>
      </c>
      <c r="GE91" s="26" t="s">
        <v>1358</v>
      </c>
      <c r="HA91" s="5" t="s">
        <v>1</v>
      </c>
      <c r="HB91" s="4" t="s">
        <v>1</v>
      </c>
      <c r="HC91" t="s">
        <v>1</v>
      </c>
      <c r="HD91" t="s">
        <v>1</v>
      </c>
      <c r="HE91" t="s">
        <v>1</v>
      </c>
      <c r="HF91" s="5" t="s">
        <v>1</v>
      </c>
      <c r="HG91" s="4" t="s">
        <v>1</v>
      </c>
      <c r="HH91" t="s">
        <v>1</v>
      </c>
      <c r="HI91" t="s">
        <v>1</v>
      </c>
      <c r="HJ91" t="s">
        <v>1</v>
      </c>
      <c r="HK91" t="s">
        <v>815</v>
      </c>
      <c r="HL91">
        <v>1.43</v>
      </c>
      <c r="HM91">
        <v>0</v>
      </c>
      <c r="HN91">
        <v>30</v>
      </c>
      <c r="HO91" t="s">
        <v>816</v>
      </c>
      <c r="HP91" s="26" t="s">
        <v>1358</v>
      </c>
      <c r="HZ91" t="s">
        <v>966</v>
      </c>
      <c r="IA91">
        <v>220</v>
      </c>
      <c r="IB91" s="10" t="s">
        <v>1</v>
      </c>
      <c r="IC91" s="10"/>
      <c r="ID91" s="10"/>
      <c r="IE91" s="10" t="s">
        <v>1</v>
      </c>
      <c r="IF91" s="10" t="s">
        <v>1</v>
      </c>
      <c r="IG91" s="10"/>
      <c r="IH91" s="10"/>
      <c r="II91" s="10"/>
      <c r="IJ91" s="10"/>
      <c r="IK91" s="10"/>
      <c r="IL91" s="10"/>
      <c r="IM91" s="10"/>
      <c r="IN91" s="10"/>
      <c r="IO91" s="10"/>
      <c r="IP91" s="10"/>
      <c r="IQ91" s="10"/>
      <c r="IR91" s="10"/>
      <c r="IS91" t="s">
        <v>1</v>
      </c>
      <c r="IT91" t="s">
        <v>1</v>
      </c>
      <c r="IW91" t="s">
        <v>1</v>
      </c>
      <c r="IX91" t="s">
        <v>1</v>
      </c>
      <c r="IY91" t="s">
        <v>1</v>
      </c>
      <c r="IZ91" t="s">
        <v>1</v>
      </c>
      <c r="JA91" t="s">
        <v>1065</v>
      </c>
      <c r="JB91" s="3">
        <v>10</v>
      </c>
      <c r="JC91" t="s">
        <v>1</v>
      </c>
      <c r="JD91" s="4" t="s">
        <v>1</v>
      </c>
      <c r="JE91" t="s">
        <v>1</v>
      </c>
      <c r="JF91" t="s">
        <v>1</v>
      </c>
      <c r="JR91" t="s">
        <v>1066</v>
      </c>
      <c r="JS91">
        <v>53.1</v>
      </c>
      <c r="JU91" t="s">
        <v>1</v>
      </c>
      <c r="JW91" t="s">
        <v>1</v>
      </c>
      <c r="JX91">
        <v>0</v>
      </c>
      <c r="JY91">
        <v>60</v>
      </c>
      <c r="JZ91" t="s">
        <v>800</v>
      </c>
      <c r="KA91" t="s">
        <v>90</v>
      </c>
      <c r="KB91" t="s">
        <v>738</v>
      </c>
      <c r="KC91" t="s">
        <v>1</v>
      </c>
      <c r="KD91" t="s">
        <v>1</v>
      </c>
      <c r="KE91" t="s">
        <v>1</v>
      </c>
      <c r="KF91" t="s">
        <v>1</v>
      </c>
      <c r="KG91" t="s">
        <v>1</v>
      </c>
      <c r="KH91" t="s">
        <v>1</v>
      </c>
      <c r="KI91" t="s">
        <v>1</v>
      </c>
      <c r="KJ91" t="s">
        <v>1</v>
      </c>
      <c r="KK91" t="s">
        <v>1</v>
      </c>
    </row>
    <row r="92" spans="1:297" x14ac:dyDescent="0.2">
      <c r="A92">
        <v>91</v>
      </c>
      <c r="B92" t="s">
        <v>705</v>
      </c>
      <c r="C92" t="s">
        <v>1306</v>
      </c>
      <c r="D92" t="s">
        <v>688</v>
      </c>
      <c r="E92">
        <v>11</v>
      </c>
      <c r="F92" t="s">
        <v>93</v>
      </c>
      <c r="G92" t="s">
        <v>1</v>
      </c>
      <c r="H92" s="26" t="s">
        <v>1420</v>
      </c>
      <c r="I92" t="s">
        <v>1</v>
      </c>
      <c r="J92" t="s">
        <v>1</v>
      </c>
      <c r="K92" t="s">
        <v>1</v>
      </c>
      <c r="L92" t="s">
        <v>1</v>
      </c>
      <c r="M92" t="s">
        <v>1</v>
      </c>
      <c r="N92" t="s">
        <v>1</v>
      </c>
      <c r="O92" t="s">
        <v>1</v>
      </c>
      <c r="P92" t="s">
        <v>1</v>
      </c>
      <c r="Q92" t="s">
        <v>1</v>
      </c>
      <c r="R92" t="s">
        <v>1</v>
      </c>
      <c r="S92" t="s">
        <v>1</v>
      </c>
      <c r="T92" t="s">
        <v>1</v>
      </c>
      <c r="U92" t="s">
        <v>1</v>
      </c>
      <c r="V92" t="s">
        <v>1</v>
      </c>
      <c r="W92" t="s">
        <v>1</v>
      </c>
      <c r="X92" t="s">
        <v>1</v>
      </c>
      <c r="Y92" t="s">
        <v>1</v>
      </c>
      <c r="Z92" t="s">
        <v>1</v>
      </c>
      <c r="AA92" t="s">
        <v>1</v>
      </c>
      <c r="AB92" t="s">
        <v>1</v>
      </c>
      <c r="AC92" t="s">
        <v>1</v>
      </c>
      <c r="AD92" t="s">
        <v>1</v>
      </c>
      <c r="AE92" t="s">
        <v>1</v>
      </c>
      <c r="AF92" t="s">
        <v>1</v>
      </c>
      <c r="AG92" t="s">
        <v>1</v>
      </c>
      <c r="AH92" t="s">
        <v>1</v>
      </c>
      <c r="AI92" t="s">
        <v>1</v>
      </c>
      <c r="AJ92" t="s">
        <v>1</v>
      </c>
      <c r="AK92" t="s">
        <v>1</v>
      </c>
      <c r="AL92" t="s">
        <v>1</v>
      </c>
      <c r="AM92" t="s">
        <v>1</v>
      </c>
      <c r="AN92">
        <v>91</v>
      </c>
      <c r="AO92">
        <f t="shared" si="7"/>
        <v>91</v>
      </c>
      <c r="AP92">
        <f t="shared" si="5"/>
        <v>11</v>
      </c>
      <c r="AQ92">
        <f t="shared" si="6"/>
        <v>11</v>
      </c>
      <c r="AR92" s="26" t="s">
        <v>1355</v>
      </c>
      <c r="AS92" s="26" t="s">
        <v>1356</v>
      </c>
      <c r="AT92" t="s">
        <v>711</v>
      </c>
      <c r="AU92" t="s">
        <v>1</v>
      </c>
      <c r="AV92" t="s">
        <v>1</v>
      </c>
      <c r="AW92">
        <v>40.32</v>
      </c>
      <c r="AX92">
        <v>-3.32</v>
      </c>
      <c r="AY92" t="s">
        <v>737</v>
      </c>
      <c r="BA92" s="3">
        <v>3</v>
      </c>
      <c r="BB92" s="3"/>
      <c r="BC92" s="3"/>
      <c r="BD92" s="3"/>
      <c r="BE92" s="3"/>
      <c r="BF92">
        <v>1998</v>
      </c>
      <c r="BG92" s="24" t="s">
        <v>733</v>
      </c>
      <c r="BH92" s="24" t="s">
        <v>733</v>
      </c>
      <c r="BI92" s="24" t="s">
        <v>733</v>
      </c>
      <c r="BJ92" s="24" t="s">
        <v>732</v>
      </c>
      <c r="BK92" s="24" t="s">
        <v>733</v>
      </c>
      <c r="BL92" s="25" t="s">
        <v>733</v>
      </c>
      <c r="BM92" s="24" t="s">
        <v>733</v>
      </c>
      <c r="BN92" s="24" t="s">
        <v>732</v>
      </c>
      <c r="BO92" s="24" t="s">
        <v>733</v>
      </c>
      <c r="BP92" s="24" t="s">
        <v>733</v>
      </c>
      <c r="BQ92" s="24" t="s">
        <v>945</v>
      </c>
      <c r="BR92" s="24" t="s">
        <v>945</v>
      </c>
      <c r="BS92" s="25" t="s">
        <v>934</v>
      </c>
      <c r="BT92" s="24" t="s">
        <v>934</v>
      </c>
      <c r="BU92" s="24" t="s">
        <v>934</v>
      </c>
      <c r="BV92" s="24" t="s">
        <v>934</v>
      </c>
      <c r="BW92" s="24" t="s">
        <v>934</v>
      </c>
      <c r="BX92" s="24" t="s">
        <v>934</v>
      </c>
      <c r="BY92" s="25" t="s">
        <v>945</v>
      </c>
      <c r="BZ92" t="s">
        <v>5</v>
      </c>
      <c r="CB92" t="s">
        <v>1</v>
      </c>
      <c r="CC92" s="13">
        <f>AVERAGE(12824,12445,2820)*0.87</f>
        <v>8145.81</v>
      </c>
      <c r="CD92" s="13"/>
      <c r="CE92" s="13"/>
      <c r="CF92" t="s">
        <v>793</v>
      </c>
      <c r="CG92">
        <v>100</v>
      </c>
      <c r="CH92" t="s">
        <v>805</v>
      </c>
      <c r="CI92" s="1">
        <v>1</v>
      </c>
      <c r="CJ92" s="10" t="s">
        <v>1442</v>
      </c>
      <c r="CK92" t="s">
        <v>807</v>
      </c>
      <c r="CL92" s="13">
        <f>AVERAGE(20930,17865,17894)-8145.81</f>
        <v>10750.523333333331</v>
      </c>
      <c r="CM92" t="s">
        <v>847</v>
      </c>
      <c r="CN92" s="14">
        <f>AVERAGE(171,139,45)</f>
        <v>118.33333333333333</v>
      </c>
      <c r="CO92" s="14"/>
      <c r="CP92" s="4" t="s">
        <v>1</v>
      </c>
      <c r="CQ92" s="4" t="s">
        <v>1</v>
      </c>
      <c r="CR92" s="4" t="s">
        <v>1</v>
      </c>
      <c r="CS92" s="4" t="s">
        <v>1</v>
      </c>
      <c r="CT92" s="4" t="s">
        <v>1</v>
      </c>
      <c r="CU92" s="4" t="s">
        <v>1</v>
      </c>
      <c r="CV92" s="37" t="s">
        <v>851</v>
      </c>
      <c r="CW92">
        <v>100</v>
      </c>
      <c r="CX92">
        <v>0</v>
      </c>
      <c r="CY92">
        <v>20</v>
      </c>
      <c r="CZ92" s="26" t="s">
        <v>1358</v>
      </c>
      <c r="DA92" t="s">
        <v>734</v>
      </c>
      <c r="DB92">
        <v>38.700000000000003</v>
      </c>
      <c r="DC92">
        <v>0</v>
      </c>
      <c r="DD92">
        <v>20</v>
      </c>
      <c r="DE92" s="26" t="s">
        <v>1358</v>
      </c>
      <c r="DF92" t="s">
        <v>735</v>
      </c>
      <c r="DG92">
        <v>47.5</v>
      </c>
      <c r="DH92">
        <v>0</v>
      </c>
      <c r="DI92">
        <v>20</v>
      </c>
      <c r="DJ92" s="26" t="s">
        <v>1358</v>
      </c>
      <c r="DK92" t="s">
        <v>736</v>
      </c>
      <c r="DL92">
        <v>13.8</v>
      </c>
      <c r="DM92">
        <v>0</v>
      </c>
      <c r="DN92">
        <v>20</v>
      </c>
      <c r="DO92" s="26" t="s">
        <v>1358</v>
      </c>
      <c r="DP92" t="s">
        <v>6</v>
      </c>
      <c r="DQ92" t="s">
        <v>813</v>
      </c>
      <c r="DR92">
        <v>8.1</v>
      </c>
      <c r="DS92">
        <v>0</v>
      </c>
      <c r="DT92">
        <v>20</v>
      </c>
      <c r="DU92" s="26" t="s">
        <v>1358</v>
      </c>
      <c r="EA92" t="s">
        <v>982</v>
      </c>
      <c r="EB92">
        <v>8.1000000000000014</v>
      </c>
      <c r="EC92">
        <v>0</v>
      </c>
      <c r="ED92">
        <v>20</v>
      </c>
      <c r="EE92" s="26" t="s">
        <v>1358</v>
      </c>
      <c r="EF92" s="26"/>
      <c r="FZ92" t="s">
        <v>806</v>
      </c>
      <c r="GA92">
        <v>133.1333333</v>
      </c>
      <c r="GE92" s="26" t="s">
        <v>1358</v>
      </c>
      <c r="HA92" s="5" t="s">
        <v>1</v>
      </c>
      <c r="HB92" s="4" t="s">
        <v>1</v>
      </c>
      <c r="HC92" t="s">
        <v>1</v>
      </c>
      <c r="HD92" t="s">
        <v>1</v>
      </c>
      <c r="HE92" t="s">
        <v>1</v>
      </c>
      <c r="HF92" s="5" t="s">
        <v>1</v>
      </c>
      <c r="HG92" s="4" t="s">
        <v>1</v>
      </c>
      <c r="HH92" t="s">
        <v>1</v>
      </c>
      <c r="HI92" t="s">
        <v>1</v>
      </c>
      <c r="HJ92" t="s">
        <v>1</v>
      </c>
      <c r="HK92" t="s">
        <v>815</v>
      </c>
      <c r="HL92">
        <v>1.47</v>
      </c>
      <c r="HM92">
        <v>0</v>
      </c>
      <c r="HN92">
        <v>20</v>
      </c>
      <c r="HO92" t="s">
        <v>1</v>
      </c>
      <c r="HP92" s="26" t="s">
        <v>1358</v>
      </c>
      <c r="HZ92" t="s">
        <v>1</v>
      </c>
      <c r="IA92" t="s">
        <v>1</v>
      </c>
      <c r="IB92" s="10" t="s">
        <v>1</v>
      </c>
      <c r="IC92" s="10"/>
      <c r="ID92" s="10"/>
      <c r="IE92" s="10" t="s">
        <v>1</v>
      </c>
      <c r="IF92" s="10" t="s">
        <v>1</v>
      </c>
      <c r="IG92" s="10"/>
      <c r="IH92" s="10"/>
      <c r="II92" s="10"/>
      <c r="IJ92" s="10"/>
      <c r="IK92" s="10"/>
      <c r="IL92" s="10"/>
      <c r="IM92" s="10"/>
      <c r="IN92" s="10"/>
      <c r="IO92" s="10"/>
      <c r="IP92" s="10"/>
      <c r="IQ92" s="10"/>
      <c r="IR92" s="10"/>
      <c r="IS92" t="s">
        <v>1</v>
      </c>
      <c r="IT92" t="s">
        <v>1</v>
      </c>
      <c r="IW92" t="s">
        <v>1</v>
      </c>
      <c r="IX92" t="s">
        <v>1</v>
      </c>
      <c r="IY92" t="s">
        <v>808</v>
      </c>
      <c r="IZ92">
        <v>5336.6666669999995</v>
      </c>
      <c r="JA92" t="s">
        <v>1</v>
      </c>
      <c r="JB92" s="3" t="s">
        <v>1</v>
      </c>
      <c r="JC92" t="s">
        <v>1</v>
      </c>
      <c r="JD92" s="4" t="s">
        <v>1</v>
      </c>
      <c r="JE92" t="s">
        <v>810</v>
      </c>
      <c r="JF92">
        <v>100</v>
      </c>
      <c r="JR92" t="s">
        <v>1066</v>
      </c>
      <c r="JS92">
        <v>76.7</v>
      </c>
      <c r="JU92" t="s">
        <v>1</v>
      </c>
      <c r="JW92" t="s">
        <v>1</v>
      </c>
      <c r="JX92">
        <v>0</v>
      </c>
      <c r="JY92">
        <v>140</v>
      </c>
      <c r="JZ92" t="s">
        <v>800</v>
      </c>
      <c r="KA92" t="s">
        <v>94</v>
      </c>
      <c r="KB92" t="s">
        <v>738</v>
      </c>
      <c r="KC92" t="s">
        <v>1</v>
      </c>
      <c r="KD92" t="s">
        <v>1</v>
      </c>
      <c r="KE92" t="s">
        <v>1</v>
      </c>
      <c r="KF92" t="s">
        <v>1</v>
      </c>
      <c r="KG92" t="s">
        <v>1</v>
      </c>
      <c r="KH92" t="s">
        <v>1</v>
      </c>
      <c r="KI92" t="s">
        <v>1</v>
      </c>
      <c r="KJ92" t="s">
        <v>1</v>
      </c>
      <c r="KK92" t="s">
        <v>1</v>
      </c>
    </row>
    <row r="93" spans="1:297" x14ac:dyDescent="0.2">
      <c r="A93">
        <v>92</v>
      </c>
      <c r="B93" t="s">
        <v>705</v>
      </c>
      <c r="C93" t="s">
        <v>1307</v>
      </c>
      <c r="D93" t="s">
        <v>688</v>
      </c>
      <c r="E93">
        <v>11</v>
      </c>
      <c r="F93" t="s">
        <v>93</v>
      </c>
      <c r="G93" t="s">
        <v>1</v>
      </c>
      <c r="H93" s="26" t="s">
        <v>1420</v>
      </c>
      <c r="I93" t="s">
        <v>1</v>
      </c>
      <c r="J93" t="s">
        <v>1</v>
      </c>
      <c r="K93" t="s">
        <v>1</v>
      </c>
      <c r="L93" t="s">
        <v>1</v>
      </c>
      <c r="M93" t="s">
        <v>1</v>
      </c>
      <c r="N93" t="s">
        <v>1</v>
      </c>
      <c r="O93" t="s">
        <v>1</v>
      </c>
      <c r="P93" t="s">
        <v>1</v>
      </c>
      <c r="Q93" t="s">
        <v>1</v>
      </c>
      <c r="R93" t="s">
        <v>1</v>
      </c>
      <c r="S93" t="s">
        <v>1</v>
      </c>
      <c r="T93" t="s">
        <v>1</v>
      </c>
      <c r="U93" t="s">
        <v>1</v>
      </c>
      <c r="V93" t="s">
        <v>1</v>
      </c>
      <c r="W93" t="s">
        <v>1</v>
      </c>
      <c r="X93" t="s">
        <v>1</v>
      </c>
      <c r="Y93" t="s">
        <v>1</v>
      </c>
      <c r="Z93" t="s">
        <v>1</v>
      </c>
      <c r="AA93" t="s">
        <v>1</v>
      </c>
      <c r="AB93" t="s">
        <v>1</v>
      </c>
      <c r="AC93" t="s">
        <v>1</v>
      </c>
      <c r="AD93" t="s">
        <v>1</v>
      </c>
      <c r="AE93" t="s">
        <v>1</v>
      </c>
      <c r="AF93" t="s">
        <v>1</v>
      </c>
      <c r="AG93" t="s">
        <v>1</v>
      </c>
      <c r="AH93" t="s">
        <v>1</v>
      </c>
      <c r="AI93" t="s">
        <v>1</v>
      </c>
      <c r="AJ93" t="s">
        <v>1</v>
      </c>
      <c r="AK93" t="s">
        <v>1</v>
      </c>
      <c r="AL93" t="s">
        <v>1</v>
      </c>
      <c r="AM93" t="s">
        <v>1</v>
      </c>
      <c r="AN93">
        <v>92</v>
      </c>
      <c r="AO93">
        <f t="shared" si="7"/>
        <v>92</v>
      </c>
      <c r="AP93">
        <f t="shared" si="5"/>
        <v>11</v>
      </c>
      <c r="AQ93">
        <f t="shared" si="6"/>
        <v>11</v>
      </c>
      <c r="AR93" s="26" t="s">
        <v>1355</v>
      </c>
      <c r="AS93" s="26" t="s">
        <v>1356</v>
      </c>
      <c r="AT93" t="s">
        <v>711</v>
      </c>
      <c r="AU93" t="s">
        <v>1</v>
      </c>
      <c r="AV93" t="s">
        <v>1</v>
      </c>
      <c r="AW93">
        <v>40.32</v>
      </c>
      <c r="AX93">
        <v>-3.32</v>
      </c>
      <c r="AY93" t="s">
        <v>737</v>
      </c>
      <c r="BA93" s="3">
        <v>3</v>
      </c>
      <c r="BB93" s="3"/>
      <c r="BC93" s="3"/>
      <c r="BD93" s="3"/>
      <c r="BE93" s="3"/>
      <c r="BF93">
        <v>1998</v>
      </c>
      <c r="BG93" s="24" t="s">
        <v>733</v>
      </c>
      <c r="BH93" s="24" t="s">
        <v>733</v>
      </c>
      <c r="BI93" s="24" t="s">
        <v>733</v>
      </c>
      <c r="BJ93" s="24" t="s">
        <v>732</v>
      </c>
      <c r="BK93" s="24" t="s">
        <v>733</v>
      </c>
      <c r="BL93" s="25" t="s">
        <v>733</v>
      </c>
      <c r="BM93" s="24" t="s">
        <v>733</v>
      </c>
      <c r="BN93" s="24" t="s">
        <v>732</v>
      </c>
      <c r="BO93" s="24" t="s">
        <v>733</v>
      </c>
      <c r="BP93" s="24" t="s">
        <v>733</v>
      </c>
      <c r="BQ93" s="24" t="s">
        <v>945</v>
      </c>
      <c r="BR93" s="24" t="s">
        <v>945</v>
      </c>
      <c r="BS93" s="25" t="s">
        <v>934</v>
      </c>
      <c r="BT93" s="24" t="s">
        <v>934</v>
      </c>
      <c r="BU93" s="24" t="s">
        <v>934</v>
      </c>
      <c r="BV93" s="24" t="s">
        <v>934</v>
      </c>
      <c r="BW93" s="24" t="s">
        <v>934</v>
      </c>
      <c r="BX93" s="24" t="s">
        <v>934</v>
      </c>
      <c r="BY93" s="25" t="s">
        <v>945</v>
      </c>
      <c r="BZ93" t="s">
        <v>5</v>
      </c>
      <c r="CB93" t="s">
        <v>1</v>
      </c>
      <c r="CC93" s="34">
        <f>AVERAGE(13523,13682,5748)*0.87</f>
        <v>9556.3700000000008</v>
      </c>
      <c r="CD93" s="34"/>
      <c r="CE93" s="34"/>
      <c r="CF93" t="s">
        <v>793</v>
      </c>
      <c r="CG93">
        <v>100</v>
      </c>
      <c r="CH93" t="s">
        <v>805</v>
      </c>
      <c r="CI93" s="1">
        <v>1</v>
      </c>
      <c r="CJ93" s="10" t="s">
        <v>1442</v>
      </c>
      <c r="CK93" t="s">
        <v>807</v>
      </c>
      <c r="CL93" s="34">
        <f>AVERAGE(21566,19580,24313)-9556.37</f>
        <v>12263.296666666667</v>
      </c>
      <c r="CM93" t="s">
        <v>847</v>
      </c>
      <c r="CN93" s="4">
        <f>AVERAGE(230,198,118)</f>
        <v>182</v>
      </c>
      <c r="CO93" s="4"/>
      <c r="CP93" s="4" t="s">
        <v>1</v>
      </c>
      <c r="CQ93" s="4" t="s">
        <v>1</v>
      </c>
      <c r="CR93" s="4" t="s">
        <v>1</v>
      </c>
      <c r="CS93" s="4" t="s">
        <v>1</v>
      </c>
      <c r="CT93" s="4" t="s">
        <v>1</v>
      </c>
      <c r="CU93" s="4" t="s">
        <v>1</v>
      </c>
      <c r="CV93" s="37" t="s">
        <v>851</v>
      </c>
      <c r="CW93">
        <v>100</v>
      </c>
      <c r="CX93">
        <v>0</v>
      </c>
      <c r="CY93">
        <v>20</v>
      </c>
      <c r="CZ93" s="26" t="s">
        <v>1358</v>
      </c>
      <c r="DA93" t="s">
        <v>734</v>
      </c>
      <c r="DB93">
        <v>38.700000000000003</v>
      </c>
      <c r="DC93">
        <v>0</v>
      </c>
      <c r="DD93">
        <v>20</v>
      </c>
      <c r="DE93" s="26" t="s">
        <v>1358</v>
      </c>
      <c r="DF93" t="s">
        <v>735</v>
      </c>
      <c r="DG93">
        <v>47.5</v>
      </c>
      <c r="DH93">
        <v>0</v>
      </c>
      <c r="DI93">
        <v>20</v>
      </c>
      <c r="DJ93" s="26" t="s">
        <v>1358</v>
      </c>
      <c r="DK93" t="s">
        <v>736</v>
      </c>
      <c r="DL93">
        <v>13.8</v>
      </c>
      <c r="DM93">
        <v>0</v>
      </c>
      <c r="DN93">
        <v>20</v>
      </c>
      <c r="DO93" s="26" t="s">
        <v>1358</v>
      </c>
      <c r="DP93" t="s">
        <v>6</v>
      </c>
      <c r="DQ93" t="s">
        <v>813</v>
      </c>
      <c r="DR93">
        <v>8.1</v>
      </c>
      <c r="DS93">
        <v>0</v>
      </c>
      <c r="DT93">
        <v>20</v>
      </c>
      <c r="DU93" s="26" t="s">
        <v>1358</v>
      </c>
      <c r="EA93" t="s">
        <v>982</v>
      </c>
      <c r="EB93">
        <v>8.1000000000000014</v>
      </c>
      <c r="EC93">
        <v>0</v>
      </c>
      <c r="ED93">
        <v>20</v>
      </c>
      <c r="EE93" s="26" t="s">
        <v>1358</v>
      </c>
      <c r="EF93" s="26"/>
      <c r="FZ93" t="s">
        <v>806</v>
      </c>
      <c r="GA93">
        <v>133.1333333</v>
      </c>
      <c r="GE93" s="26" t="s">
        <v>1358</v>
      </c>
      <c r="HA93" s="5" t="s">
        <v>1</v>
      </c>
      <c r="HB93" s="4" t="s">
        <v>1</v>
      </c>
      <c r="HC93" t="s">
        <v>1</v>
      </c>
      <c r="HD93" t="s">
        <v>1</v>
      </c>
      <c r="HE93" t="s">
        <v>1</v>
      </c>
      <c r="HF93" s="5" t="s">
        <v>1</v>
      </c>
      <c r="HG93" s="4" t="s">
        <v>1</v>
      </c>
      <c r="HH93" t="s">
        <v>1</v>
      </c>
      <c r="HI93" t="s">
        <v>1</v>
      </c>
      <c r="HJ93" t="s">
        <v>1</v>
      </c>
      <c r="HK93" t="s">
        <v>815</v>
      </c>
      <c r="HL93">
        <v>1.47</v>
      </c>
      <c r="HM93">
        <v>0</v>
      </c>
      <c r="HN93">
        <v>20</v>
      </c>
      <c r="HO93" t="s">
        <v>1</v>
      </c>
      <c r="HP93" s="26" t="s">
        <v>1358</v>
      </c>
      <c r="HZ93" t="s">
        <v>1</v>
      </c>
      <c r="IA93" t="s">
        <v>1</v>
      </c>
      <c r="IB93" s="10" t="s">
        <v>1</v>
      </c>
      <c r="IC93" s="10"/>
      <c r="ID93" s="10"/>
      <c r="IE93" s="10" t="s">
        <v>1</v>
      </c>
      <c r="IF93" s="10" t="s">
        <v>1</v>
      </c>
      <c r="IG93" s="10"/>
      <c r="IH93" s="10"/>
      <c r="II93" s="10"/>
      <c r="IJ93" s="10"/>
      <c r="IK93" s="10"/>
      <c r="IL93" s="10"/>
      <c r="IM93" s="10"/>
      <c r="IN93" s="10"/>
      <c r="IO93" s="10"/>
      <c r="IP93" s="10"/>
      <c r="IQ93" s="10"/>
      <c r="IR93" s="10"/>
      <c r="IS93" t="s">
        <v>1</v>
      </c>
      <c r="IT93" t="s">
        <v>1</v>
      </c>
      <c r="IW93" t="s">
        <v>979</v>
      </c>
      <c r="IX93">
        <v>169</v>
      </c>
      <c r="IY93" t="s">
        <v>808</v>
      </c>
      <c r="IZ93">
        <v>5336.6666669999995</v>
      </c>
      <c r="JA93" t="s">
        <v>1</v>
      </c>
      <c r="JB93" s="3" t="s">
        <v>1</v>
      </c>
      <c r="JC93" t="s">
        <v>1</v>
      </c>
      <c r="JD93" s="4" t="s">
        <v>1</v>
      </c>
      <c r="JE93" t="s">
        <v>810</v>
      </c>
      <c r="JF93">
        <v>100</v>
      </c>
      <c r="JR93" t="s">
        <v>1066</v>
      </c>
      <c r="JS93">
        <v>131.30000000000001</v>
      </c>
      <c r="JU93" t="s">
        <v>1</v>
      </c>
      <c r="JW93" t="s">
        <v>1</v>
      </c>
      <c r="JX93">
        <v>0</v>
      </c>
      <c r="JY93">
        <v>140</v>
      </c>
      <c r="JZ93" t="s">
        <v>800</v>
      </c>
      <c r="KA93" t="s">
        <v>94</v>
      </c>
      <c r="KB93" t="s">
        <v>738</v>
      </c>
      <c r="KC93" t="s">
        <v>1</v>
      </c>
      <c r="KD93" t="s">
        <v>1</v>
      </c>
      <c r="KE93" t="s">
        <v>1</v>
      </c>
      <c r="KF93" t="s">
        <v>1</v>
      </c>
      <c r="KG93" t="s">
        <v>1</v>
      </c>
      <c r="KH93" t="s">
        <v>1</v>
      </c>
      <c r="KI93" t="s">
        <v>1</v>
      </c>
      <c r="KJ93" t="s">
        <v>1</v>
      </c>
      <c r="KK93" t="s">
        <v>1</v>
      </c>
    </row>
    <row r="94" spans="1:297" x14ac:dyDescent="0.2">
      <c r="A94">
        <v>93</v>
      </c>
      <c r="B94" t="s">
        <v>705</v>
      </c>
      <c r="C94" t="s">
        <v>1308</v>
      </c>
      <c r="D94" t="s">
        <v>688</v>
      </c>
      <c r="E94">
        <v>11</v>
      </c>
      <c r="F94" t="s">
        <v>93</v>
      </c>
      <c r="G94" t="s">
        <v>1</v>
      </c>
      <c r="H94" s="26" t="s">
        <v>1420</v>
      </c>
      <c r="I94" t="s">
        <v>1</v>
      </c>
      <c r="J94" t="s">
        <v>1</v>
      </c>
      <c r="K94" t="s">
        <v>1</v>
      </c>
      <c r="L94" t="s">
        <v>1</v>
      </c>
      <c r="M94" t="s">
        <v>1</v>
      </c>
      <c r="N94" t="s">
        <v>1</v>
      </c>
      <c r="O94" t="s">
        <v>1</v>
      </c>
      <c r="P94" t="s">
        <v>1</v>
      </c>
      <c r="Q94" t="s">
        <v>1</v>
      </c>
      <c r="R94" t="s">
        <v>1</v>
      </c>
      <c r="S94" t="s">
        <v>1</v>
      </c>
      <c r="T94" t="s">
        <v>1</v>
      </c>
      <c r="U94" t="s">
        <v>1</v>
      </c>
      <c r="V94" t="s">
        <v>1</v>
      </c>
      <c r="W94" t="s">
        <v>1</v>
      </c>
      <c r="X94" t="s">
        <v>1</v>
      </c>
      <c r="Y94" t="s">
        <v>1</v>
      </c>
      <c r="Z94" t="s">
        <v>1</v>
      </c>
      <c r="AA94" t="s">
        <v>1</v>
      </c>
      <c r="AB94" t="s">
        <v>1</v>
      </c>
      <c r="AC94" t="s">
        <v>1</v>
      </c>
      <c r="AD94" t="s">
        <v>1</v>
      </c>
      <c r="AE94" t="s">
        <v>1</v>
      </c>
      <c r="AF94" t="s">
        <v>1</v>
      </c>
      <c r="AG94" t="s">
        <v>1</v>
      </c>
      <c r="AH94" t="s">
        <v>1</v>
      </c>
      <c r="AI94" t="s">
        <v>1</v>
      </c>
      <c r="AJ94" t="s">
        <v>1</v>
      </c>
      <c r="AK94" t="s">
        <v>1</v>
      </c>
      <c r="AL94" t="s">
        <v>1</v>
      </c>
      <c r="AM94" t="s">
        <v>1</v>
      </c>
      <c r="AN94">
        <v>93</v>
      </c>
      <c r="AO94">
        <f t="shared" si="7"/>
        <v>93</v>
      </c>
      <c r="AP94">
        <f t="shared" si="5"/>
        <v>11</v>
      </c>
      <c r="AQ94">
        <f t="shared" si="6"/>
        <v>11</v>
      </c>
      <c r="AR94" s="26" t="s">
        <v>1355</v>
      </c>
      <c r="AS94" s="26" t="s">
        <v>1356</v>
      </c>
      <c r="AT94" t="s">
        <v>711</v>
      </c>
      <c r="AU94" t="s">
        <v>1</v>
      </c>
      <c r="AV94" t="s">
        <v>1</v>
      </c>
      <c r="AW94">
        <v>40.32</v>
      </c>
      <c r="AX94">
        <v>-3.32</v>
      </c>
      <c r="AY94" t="s">
        <v>737</v>
      </c>
      <c r="BA94" s="3">
        <v>3</v>
      </c>
      <c r="BB94" s="3"/>
      <c r="BC94" s="3"/>
      <c r="BD94" s="3"/>
      <c r="BE94" s="3"/>
      <c r="BF94">
        <v>1998</v>
      </c>
      <c r="BG94" s="24" t="s">
        <v>733</v>
      </c>
      <c r="BH94" s="24" t="s">
        <v>733</v>
      </c>
      <c r="BI94" s="24" t="s">
        <v>733</v>
      </c>
      <c r="BJ94" s="24" t="s">
        <v>732</v>
      </c>
      <c r="BK94" s="24" t="s">
        <v>733</v>
      </c>
      <c r="BL94" s="25" t="s">
        <v>733</v>
      </c>
      <c r="BM94" s="24" t="s">
        <v>733</v>
      </c>
      <c r="BN94" s="24" t="s">
        <v>732</v>
      </c>
      <c r="BO94" s="24" t="s">
        <v>733</v>
      </c>
      <c r="BP94" s="24" t="s">
        <v>733</v>
      </c>
      <c r="BQ94" s="24" t="s">
        <v>945</v>
      </c>
      <c r="BR94" s="24" t="s">
        <v>945</v>
      </c>
      <c r="BS94" s="25" t="s">
        <v>934</v>
      </c>
      <c r="BT94" s="24" t="s">
        <v>934</v>
      </c>
      <c r="BU94" s="24" t="s">
        <v>934</v>
      </c>
      <c r="BV94" s="24" t="s">
        <v>934</v>
      </c>
      <c r="BW94" s="24" t="s">
        <v>934</v>
      </c>
      <c r="BX94" s="24" t="s">
        <v>934</v>
      </c>
      <c r="BY94" s="25" t="s">
        <v>945</v>
      </c>
      <c r="BZ94" t="s">
        <v>5</v>
      </c>
      <c r="CB94" t="s">
        <v>1</v>
      </c>
      <c r="CC94" s="34">
        <f>AVERAGE(12827,13359,6205)*0.87</f>
        <v>9393.39</v>
      </c>
      <c r="CD94" s="34"/>
      <c r="CE94" s="34"/>
      <c r="CF94" t="s">
        <v>793</v>
      </c>
      <c r="CG94">
        <v>100</v>
      </c>
      <c r="CH94" t="s">
        <v>805</v>
      </c>
      <c r="CI94" s="1">
        <v>1</v>
      </c>
      <c r="CJ94" s="10" t="s">
        <v>1442</v>
      </c>
      <c r="CK94" t="s">
        <v>807</v>
      </c>
      <c r="CL94" s="34">
        <f>AVERAGE(20321,19327,24386)-9393.39</f>
        <v>11951.276666666668</v>
      </c>
      <c r="CM94" t="s">
        <v>847</v>
      </c>
      <c r="CN94" s="4">
        <f>AVERAGE(171,196,127)</f>
        <v>164.66666666666666</v>
      </c>
      <c r="CO94" s="4"/>
      <c r="CP94" s="4" t="s">
        <v>1</v>
      </c>
      <c r="CQ94" s="4" t="s">
        <v>1</v>
      </c>
      <c r="CR94" s="4" t="s">
        <v>1</v>
      </c>
      <c r="CS94" s="4" t="s">
        <v>1</v>
      </c>
      <c r="CT94" s="4" t="s">
        <v>1</v>
      </c>
      <c r="CU94" s="4" t="s">
        <v>1</v>
      </c>
      <c r="CV94" s="37" t="s">
        <v>851</v>
      </c>
      <c r="CW94">
        <v>100</v>
      </c>
      <c r="CX94">
        <v>0</v>
      </c>
      <c r="CY94">
        <v>20</v>
      </c>
      <c r="CZ94" s="26" t="s">
        <v>1358</v>
      </c>
      <c r="DA94" t="s">
        <v>734</v>
      </c>
      <c r="DB94">
        <v>38.700000000000003</v>
      </c>
      <c r="DC94">
        <v>0</v>
      </c>
      <c r="DD94">
        <v>20</v>
      </c>
      <c r="DE94" s="26" t="s">
        <v>1358</v>
      </c>
      <c r="DF94" t="s">
        <v>735</v>
      </c>
      <c r="DG94">
        <v>47.5</v>
      </c>
      <c r="DH94">
        <v>0</v>
      </c>
      <c r="DI94">
        <v>20</v>
      </c>
      <c r="DJ94" s="26" t="s">
        <v>1358</v>
      </c>
      <c r="DK94" t="s">
        <v>736</v>
      </c>
      <c r="DL94">
        <v>13.8</v>
      </c>
      <c r="DM94">
        <v>0</v>
      </c>
      <c r="DN94">
        <v>20</v>
      </c>
      <c r="DO94" s="26" t="s">
        <v>1358</v>
      </c>
      <c r="DP94" t="s">
        <v>6</v>
      </c>
      <c r="DQ94" t="s">
        <v>813</v>
      </c>
      <c r="DR94">
        <v>8.1</v>
      </c>
      <c r="DS94">
        <v>0</v>
      </c>
      <c r="DT94">
        <v>20</v>
      </c>
      <c r="DU94" s="26" t="s">
        <v>1358</v>
      </c>
      <c r="EA94" t="s">
        <v>982</v>
      </c>
      <c r="EB94">
        <v>8.1000000000000014</v>
      </c>
      <c r="EC94">
        <v>0</v>
      </c>
      <c r="ED94">
        <v>20</v>
      </c>
      <c r="EE94" s="26" t="s">
        <v>1358</v>
      </c>
      <c r="EF94" s="26"/>
      <c r="FZ94" t="s">
        <v>806</v>
      </c>
      <c r="GA94">
        <v>133.1333333</v>
      </c>
      <c r="GE94" s="26" t="s">
        <v>1358</v>
      </c>
      <c r="HA94" s="5" t="s">
        <v>1</v>
      </c>
      <c r="HB94" s="4" t="s">
        <v>1</v>
      </c>
      <c r="HC94" t="s">
        <v>1</v>
      </c>
      <c r="HD94" t="s">
        <v>1</v>
      </c>
      <c r="HE94" t="s">
        <v>1</v>
      </c>
      <c r="HF94" s="5" t="s">
        <v>1</v>
      </c>
      <c r="HG94" s="4" t="s">
        <v>1</v>
      </c>
      <c r="HH94" t="s">
        <v>1</v>
      </c>
      <c r="HI94" t="s">
        <v>1</v>
      </c>
      <c r="HJ94" t="s">
        <v>1</v>
      </c>
      <c r="HK94" t="s">
        <v>815</v>
      </c>
      <c r="HL94">
        <v>1.47</v>
      </c>
      <c r="HM94">
        <v>0</v>
      </c>
      <c r="HN94">
        <v>20</v>
      </c>
      <c r="HO94" t="s">
        <v>1</v>
      </c>
      <c r="HP94" s="26" t="s">
        <v>1358</v>
      </c>
      <c r="HZ94" t="s">
        <v>969</v>
      </c>
      <c r="IA94">
        <v>170</v>
      </c>
      <c r="IB94" s="10" t="s">
        <v>1</v>
      </c>
      <c r="IC94" s="10"/>
      <c r="ID94" s="10"/>
      <c r="IE94" s="10" t="s">
        <v>1</v>
      </c>
      <c r="IF94" s="10" t="s">
        <v>1</v>
      </c>
      <c r="IG94" s="10"/>
      <c r="IH94" s="10"/>
      <c r="II94" s="10"/>
      <c r="IJ94" s="10"/>
      <c r="IK94" s="10"/>
      <c r="IL94" s="10"/>
      <c r="IM94" s="10"/>
      <c r="IN94" s="10"/>
      <c r="IO94" s="10"/>
      <c r="IP94" s="10"/>
      <c r="IQ94" s="10"/>
      <c r="IR94" s="10"/>
      <c r="IS94" t="s">
        <v>1</v>
      </c>
      <c r="IT94" t="s">
        <v>1</v>
      </c>
      <c r="IW94" t="s">
        <v>1</v>
      </c>
      <c r="IX94" t="s">
        <v>1</v>
      </c>
      <c r="IY94" t="s">
        <v>808</v>
      </c>
      <c r="IZ94">
        <v>5336.6666669999995</v>
      </c>
      <c r="JA94" t="s">
        <v>1</v>
      </c>
      <c r="JB94" s="3" t="s">
        <v>1</v>
      </c>
      <c r="JC94" t="s">
        <v>1</v>
      </c>
      <c r="JD94" s="4" t="s">
        <v>1</v>
      </c>
      <c r="JE94" t="s">
        <v>810</v>
      </c>
      <c r="JF94">
        <v>100</v>
      </c>
      <c r="JR94" t="s">
        <v>1066</v>
      </c>
      <c r="JS94">
        <v>183.9</v>
      </c>
      <c r="JU94" t="s">
        <v>1</v>
      </c>
      <c r="JW94" t="s">
        <v>1</v>
      </c>
      <c r="JX94">
        <v>0</v>
      </c>
      <c r="JY94">
        <v>140</v>
      </c>
      <c r="JZ94" t="s">
        <v>800</v>
      </c>
      <c r="KA94" t="s">
        <v>94</v>
      </c>
      <c r="KB94" t="s">
        <v>738</v>
      </c>
      <c r="KC94" t="s">
        <v>1</v>
      </c>
      <c r="KD94" t="s">
        <v>1</v>
      </c>
      <c r="KE94" t="s">
        <v>1</v>
      </c>
      <c r="KF94" t="s">
        <v>1</v>
      </c>
      <c r="KG94" t="s">
        <v>1</v>
      </c>
      <c r="KH94" t="s">
        <v>1</v>
      </c>
      <c r="KI94" t="s">
        <v>1</v>
      </c>
      <c r="KJ94" t="s">
        <v>1</v>
      </c>
      <c r="KK94" t="s">
        <v>1</v>
      </c>
    </row>
    <row r="95" spans="1:297" x14ac:dyDescent="0.2">
      <c r="A95">
        <v>94</v>
      </c>
      <c r="B95" t="s">
        <v>705</v>
      </c>
      <c r="C95" t="s">
        <v>1309</v>
      </c>
      <c r="D95" t="s">
        <v>688</v>
      </c>
      <c r="E95">
        <v>11</v>
      </c>
      <c r="F95" t="s">
        <v>93</v>
      </c>
      <c r="G95" t="s">
        <v>1</v>
      </c>
      <c r="H95" s="26" t="s">
        <v>1420</v>
      </c>
      <c r="I95" t="s">
        <v>1</v>
      </c>
      <c r="J95" t="s">
        <v>1</v>
      </c>
      <c r="K95" t="s">
        <v>1</v>
      </c>
      <c r="L95" t="s">
        <v>1</v>
      </c>
      <c r="M95" t="s">
        <v>1</v>
      </c>
      <c r="N95" t="s">
        <v>1</v>
      </c>
      <c r="O95" t="s">
        <v>1</v>
      </c>
      <c r="P95" t="s">
        <v>1</v>
      </c>
      <c r="Q95" t="s">
        <v>1</v>
      </c>
      <c r="R95" t="s">
        <v>1</v>
      </c>
      <c r="S95" t="s">
        <v>1</v>
      </c>
      <c r="T95" t="s">
        <v>1</v>
      </c>
      <c r="U95" t="s">
        <v>1</v>
      </c>
      <c r="V95" t="s">
        <v>1</v>
      </c>
      <c r="W95" t="s">
        <v>1</v>
      </c>
      <c r="X95" t="s">
        <v>1</v>
      </c>
      <c r="Y95" t="s">
        <v>1</v>
      </c>
      <c r="Z95" t="s">
        <v>1</v>
      </c>
      <c r="AA95" t="s">
        <v>1</v>
      </c>
      <c r="AB95" t="s">
        <v>1</v>
      </c>
      <c r="AC95" t="s">
        <v>1</v>
      </c>
      <c r="AD95" t="s">
        <v>1</v>
      </c>
      <c r="AE95" t="s">
        <v>1</v>
      </c>
      <c r="AF95" t="s">
        <v>1</v>
      </c>
      <c r="AG95" t="s">
        <v>1</v>
      </c>
      <c r="AH95" t="s">
        <v>1</v>
      </c>
      <c r="AI95" t="s">
        <v>1</v>
      </c>
      <c r="AJ95" t="s">
        <v>1</v>
      </c>
      <c r="AK95" t="s">
        <v>1</v>
      </c>
      <c r="AL95" t="s">
        <v>1</v>
      </c>
      <c r="AM95" t="s">
        <v>1</v>
      </c>
      <c r="AN95">
        <v>94</v>
      </c>
      <c r="AO95">
        <f t="shared" si="7"/>
        <v>94</v>
      </c>
      <c r="AP95">
        <f t="shared" si="5"/>
        <v>11</v>
      </c>
      <c r="AQ95">
        <f t="shared" si="6"/>
        <v>11</v>
      </c>
      <c r="AR95" s="26" t="s">
        <v>1355</v>
      </c>
      <c r="AS95" s="26" t="s">
        <v>1356</v>
      </c>
      <c r="AT95" t="s">
        <v>711</v>
      </c>
      <c r="AU95" t="s">
        <v>1</v>
      </c>
      <c r="AV95" t="s">
        <v>1</v>
      </c>
      <c r="AW95">
        <v>40.32</v>
      </c>
      <c r="AX95">
        <v>-3.32</v>
      </c>
      <c r="AY95" t="s">
        <v>737</v>
      </c>
      <c r="BA95" s="3">
        <v>3</v>
      </c>
      <c r="BB95" s="3"/>
      <c r="BC95" s="3"/>
      <c r="BD95" s="3"/>
      <c r="BE95" s="3"/>
      <c r="BF95">
        <v>1998</v>
      </c>
      <c r="BG95" s="24" t="s">
        <v>733</v>
      </c>
      <c r="BH95" s="24" t="s">
        <v>733</v>
      </c>
      <c r="BI95" s="24" t="s">
        <v>733</v>
      </c>
      <c r="BJ95" s="24" t="s">
        <v>732</v>
      </c>
      <c r="BK95" s="24" t="s">
        <v>733</v>
      </c>
      <c r="BL95" s="25" t="s">
        <v>733</v>
      </c>
      <c r="BM95" s="24" t="s">
        <v>733</v>
      </c>
      <c r="BN95" s="24" t="s">
        <v>732</v>
      </c>
      <c r="BO95" s="24" t="s">
        <v>733</v>
      </c>
      <c r="BP95" s="24" t="s">
        <v>733</v>
      </c>
      <c r="BQ95" s="24" t="s">
        <v>945</v>
      </c>
      <c r="BR95" s="24" t="s">
        <v>945</v>
      </c>
      <c r="BS95" s="25" t="s">
        <v>934</v>
      </c>
      <c r="BT95" s="24" t="s">
        <v>934</v>
      </c>
      <c r="BU95" s="24" t="s">
        <v>934</v>
      </c>
      <c r="BV95" s="24" t="s">
        <v>934</v>
      </c>
      <c r="BW95" s="24" t="s">
        <v>934</v>
      </c>
      <c r="BX95" s="24" t="s">
        <v>934</v>
      </c>
      <c r="BY95" s="25" t="s">
        <v>945</v>
      </c>
      <c r="BZ95" t="s">
        <v>5</v>
      </c>
      <c r="CB95" t="s">
        <v>1</v>
      </c>
      <c r="CC95" s="34">
        <f>AVERAGE(15460,13938,6485)*0.87</f>
        <v>10406.07</v>
      </c>
      <c r="CD95" s="34"/>
      <c r="CE95" s="34"/>
      <c r="CF95" t="s">
        <v>793</v>
      </c>
      <c r="CG95">
        <v>100</v>
      </c>
      <c r="CH95" t="s">
        <v>805</v>
      </c>
      <c r="CI95" s="1">
        <v>1</v>
      </c>
      <c r="CJ95" s="10" t="s">
        <v>1442</v>
      </c>
      <c r="CK95" t="s">
        <v>807</v>
      </c>
      <c r="CL95" s="34">
        <f>AVERAGE(23951,20152,25161)-10406.07</f>
        <v>12681.93</v>
      </c>
      <c r="CM95" t="s">
        <v>847</v>
      </c>
      <c r="CN95" s="4">
        <f>AVERAGE(241,199,147)</f>
        <v>195.66666666666666</v>
      </c>
      <c r="CO95" s="4"/>
      <c r="CP95" s="4" t="s">
        <v>1</v>
      </c>
      <c r="CQ95" s="4" t="s">
        <v>1</v>
      </c>
      <c r="CR95" s="4" t="s">
        <v>1</v>
      </c>
      <c r="CS95" s="4" t="s">
        <v>1</v>
      </c>
      <c r="CT95" s="4" t="s">
        <v>1</v>
      </c>
      <c r="CU95" s="4" t="s">
        <v>1</v>
      </c>
      <c r="CV95" s="37" t="s">
        <v>851</v>
      </c>
      <c r="CW95">
        <v>100</v>
      </c>
      <c r="CX95">
        <v>0</v>
      </c>
      <c r="CY95">
        <v>20</v>
      </c>
      <c r="CZ95" s="26" t="s">
        <v>1358</v>
      </c>
      <c r="DA95" t="s">
        <v>734</v>
      </c>
      <c r="DB95">
        <v>38.700000000000003</v>
      </c>
      <c r="DC95">
        <v>0</v>
      </c>
      <c r="DD95">
        <v>20</v>
      </c>
      <c r="DE95" s="26" t="s">
        <v>1358</v>
      </c>
      <c r="DF95" t="s">
        <v>735</v>
      </c>
      <c r="DG95">
        <v>47.5</v>
      </c>
      <c r="DH95">
        <v>0</v>
      </c>
      <c r="DI95">
        <v>20</v>
      </c>
      <c r="DJ95" s="26" t="s">
        <v>1358</v>
      </c>
      <c r="DK95" t="s">
        <v>736</v>
      </c>
      <c r="DL95">
        <v>13.8</v>
      </c>
      <c r="DM95">
        <v>0</v>
      </c>
      <c r="DN95">
        <v>20</v>
      </c>
      <c r="DO95" s="26" t="s">
        <v>1358</v>
      </c>
      <c r="DP95" t="s">
        <v>6</v>
      </c>
      <c r="DQ95" t="s">
        <v>813</v>
      </c>
      <c r="DR95">
        <v>8.1</v>
      </c>
      <c r="DS95">
        <v>0</v>
      </c>
      <c r="DT95">
        <v>20</v>
      </c>
      <c r="DU95" s="26" t="s">
        <v>1358</v>
      </c>
      <c r="EA95" t="s">
        <v>982</v>
      </c>
      <c r="EB95">
        <v>8.1000000000000014</v>
      </c>
      <c r="EC95">
        <v>0</v>
      </c>
      <c r="ED95">
        <v>20</v>
      </c>
      <c r="EE95" s="26" t="s">
        <v>1358</v>
      </c>
      <c r="EF95" s="26"/>
      <c r="FZ95" t="s">
        <v>806</v>
      </c>
      <c r="GA95">
        <v>133.1333333</v>
      </c>
      <c r="GE95" s="26" t="s">
        <v>1358</v>
      </c>
      <c r="HA95" s="5" t="s">
        <v>1</v>
      </c>
      <c r="HB95" s="4" t="s">
        <v>1</v>
      </c>
      <c r="HC95" t="s">
        <v>1</v>
      </c>
      <c r="HD95" t="s">
        <v>1</v>
      </c>
      <c r="HE95" t="s">
        <v>1</v>
      </c>
      <c r="HF95" s="5" t="s">
        <v>1</v>
      </c>
      <c r="HG95" s="4" t="s">
        <v>1</v>
      </c>
      <c r="HH95" t="s">
        <v>1</v>
      </c>
      <c r="HI95" t="s">
        <v>1</v>
      </c>
      <c r="HJ95" t="s">
        <v>1</v>
      </c>
      <c r="HK95" t="s">
        <v>815</v>
      </c>
      <c r="HL95">
        <v>1.47</v>
      </c>
      <c r="HM95">
        <v>0</v>
      </c>
      <c r="HN95">
        <v>20</v>
      </c>
      <c r="HO95" t="s">
        <v>1</v>
      </c>
      <c r="HP95" s="26" t="s">
        <v>1358</v>
      </c>
      <c r="HZ95" t="s">
        <v>1</v>
      </c>
      <c r="IA95" t="s">
        <v>1</v>
      </c>
      <c r="IB95" s="10" t="s">
        <v>1</v>
      </c>
      <c r="IC95" s="10"/>
      <c r="ID95" s="10"/>
      <c r="IE95" s="10" t="s">
        <v>1</v>
      </c>
      <c r="IF95" s="10" t="s">
        <v>1</v>
      </c>
      <c r="IG95" s="10"/>
      <c r="IH95" s="10"/>
      <c r="II95" s="10"/>
      <c r="IJ95" s="10"/>
      <c r="IK95" s="10"/>
      <c r="IL95" s="10"/>
      <c r="IM95" s="10"/>
      <c r="IN95" s="10"/>
      <c r="IO95" s="10"/>
      <c r="IP95" s="10"/>
      <c r="IQ95" s="10"/>
      <c r="IR95" s="10"/>
      <c r="IS95" t="s">
        <v>1</v>
      </c>
      <c r="IT95" t="s">
        <v>1</v>
      </c>
      <c r="IW95" t="s">
        <v>979</v>
      </c>
      <c r="IX95">
        <v>508</v>
      </c>
      <c r="IY95" t="s">
        <v>808</v>
      </c>
      <c r="IZ95">
        <v>5336.6666669999995</v>
      </c>
      <c r="JA95" t="s">
        <v>1</v>
      </c>
      <c r="JB95" s="3" t="s">
        <v>1</v>
      </c>
      <c r="JC95" t="s">
        <v>1</v>
      </c>
      <c r="JD95" s="4" t="s">
        <v>1</v>
      </c>
      <c r="JE95" t="s">
        <v>810</v>
      </c>
      <c r="JF95">
        <v>100</v>
      </c>
      <c r="JR95" t="s">
        <v>1066</v>
      </c>
      <c r="JS95">
        <v>254.4</v>
      </c>
      <c r="JU95" t="s">
        <v>1</v>
      </c>
      <c r="JW95" t="s">
        <v>1</v>
      </c>
      <c r="JX95">
        <v>0</v>
      </c>
      <c r="JY95">
        <v>140</v>
      </c>
      <c r="JZ95" t="s">
        <v>800</v>
      </c>
      <c r="KA95" t="s">
        <v>94</v>
      </c>
      <c r="KB95" t="s">
        <v>738</v>
      </c>
      <c r="KC95" t="s">
        <v>1</v>
      </c>
      <c r="KD95" t="s">
        <v>1</v>
      </c>
      <c r="KE95" t="s">
        <v>1</v>
      </c>
      <c r="KF95" t="s">
        <v>1</v>
      </c>
      <c r="KG95" t="s">
        <v>1</v>
      </c>
      <c r="KH95" t="s">
        <v>1</v>
      </c>
      <c r="KI95" t="s">
        <v>1</v>
      </c>
      <c r="KJ95" t="s">
        <v>1</v>
      </c>
      <c r="KK95" t="s">
        <v>1</v>
      </c>
    </row>
    <row r="96" spans="1:297" x14ac:dyDescent="0.2">
      <c r="A96">
        <v>95</v>
      </c>
      <c r="B96" t="s">
        <v>705</v>
      </c>
      <c r="C96" t="s">
        <v>97</v>
      </c>
      <c r="D96" t="s">
        <v>95</v>
      </c>
      <c r="E96">
        <v>12</v>
      </c>
      <c r="F96" t="s">
        <v>96</v>
      </c>
      <c r="G96" t="s">
        <v>1</v>
      </c>
      <c r="H96" s="26" t="s">
        <v>1420</v>
      </c>
      <c r="I96" t="s">
        <v>1</v>
      </c>
      <c r="J96" t="s">
        <v>1</v>
      </c>
      <c r="K96" t="s">
        <v>1</v>
      </c>
      <c r="L96" t="s">
        <v>1</v>
      </c>
      <c r="M96" t="s">
        <v>1</v>
      </c>
      <c r="N96" t="s">
        <v>1</v>
      </c>
      <c r="O96" t="s">
        <v>1</v>
      </c>
      <c r="P96" t="s">
        <v>1</v>
      </c>
      <c r="Q96" t="s">
        <v>1</v>
      </c>
      <c r="R96" t="s">
        <v>1</v>
      </c>
      <c r="S96" t="s">
        <v>1</v>
      </c>
      <c r="T96" t="s">
        <v>1</v>
      </c>
      <c r="U96" t="s">
        <v>1</v>
      </c>
      <c r="V96" t="s">
        <v>1</v>
      </c>
      <c r="W96" t="s">
        <v>1</v>
      </c>
      <c r="X96" t="s">
        <v>1</v>
      </c>
      <c r="Y96" t="s">
        <v>1</v>
      </c>
      <c r="Z96" t="s">
        <v>1</v>
      </c>
      <c r="AA96" t="s">
        <v>1</v>
      </c>
      <c r="AB96" t="s">
        <v>1</v>
      </c>
      <c r="AC96" t="s">
        <v>1</v>
      </c>
      <c r="AD96" t="s">
        <v>1</v>
      </c>
      <c r="AE96" t="s">
        <v>1</v>
      </c>
      <c r="AF96" t="s">
        <v>1</v>
      </c>
      <c r="AG96" t="s">
        <v>1</v>
      </c>
      <c r="AH96" t="s">
        <v>1</v>
      </c>
      <c r="AI96" t="s">
        <v>1</v>
      </c>
      <c r="AJ96" t="s">
        <v>1</v>
      </c>
      <c r="AK96" t="s">
        <v>1</v>
      </c>
      <c r="AL96" t="s">
        <v>1</v>
      </c>
      <c r="AM96" t="s">
        <v>1</v>
      </c>
      <c r="AN96">
        <v>95</v>
      </c>
      <c r="AO96">
        <f t="shared" si="7"/>
        <v>95</v>
      </c>
      <c r="AP96">
        <f t="shared" si="5"/>
        <v>12</v>
      </c>
      <c r="AQ96">
        <f t="shared" si="6"/>
        <v>12</v>
      </c>
      <c r="AR96" s="26" t="s">
        <v>1355</v>
      </c>
      <c r="AS96" s="26" t="s">
        <v>1356</v>
      </c>
      <c r="AT96" t="s">
        <v>713</v>
      </c>
      <c r="AU96" t="s">
        <v>1</v>
      </c>
      <c r="AV96" t="s">
        <v>1</v>
      </c>
      <c r="AW96">
        <v>44.37</v>
      </c>
      <c r="AX96">
        <v>-73.430000000000007</v>
      </c>
      <c r="AY96" t="s">
        <v>737</v>
      </c>
      <c r="BA96" s="3">
        <v>2</v>
      </c>
      <c r="BB96" s="3"/>
      <c r="BC96" s="3"/>
      <c r="BD96" s="3"/>
      <c r="BE96" s="3"/>
      <c r="BF96">
        <v>1993</v>
      </c>
      <c r="BG96" s="24" t="s">
        <v>733</v>
      </c>
      <c r="BH96" s="24" t="s">
        <v>733</v>
      </c>
      <c r="BI96" s="24" t="s">
        <v>733</v>
      </c>
      <c r="BJ96" s="24" t="s">
        <v>732</v>
      </c>
      <c r="BK96" s="24" t="s">
        <v>733</v>
      </c>
      <c r="BL96" s="25" t="s">
        <v>733</v>
      </c>
      <c r="BM96" s="24" t="s">
        <v>733</v>
      </c>
      <c r="BN96" s="24" t="s">
        <v>732</v>
      </c>
      <c r="BO96" s="24" t="s">
        <v>733</v>
      </c>
      <c r="BP96" s="24" t="s">
        <v>733</v>
      </c>
      <c r="BQ96" s="24" t="s">
        <v>945</v>
      </c>
      <c r="BR96" s="24" t="s">
        <v>945</v>
      </c>
      <c r="BS96" s="25" t="s">
        <v>934</v>
      </c>
      <c r="BT96" s="24" t="s">
        <v>934</v>
      </c>
      <c r="BU96" s="24" t="s">
        <v>934</v>
      </c>
      <c r="BV96" s="24" t="s">
        <v>934</v>
      </c>
      <c r="BW96" s="24" t="s">
        <v>934</v>
      </c>
      <c r="BX96" s="24" t="s">
        <v>934</v>
      </c>
      <c r="BY96" s="25" t="s">
        <v>945</v>
      </c>
      <c r="BZ96" t="s">
        <v>5</v>
      </c>
      <c r="CB96" t="s">
        <v>1</v>
      </c>
      <c r="CC96" s="4">
        <f>6.7*84.5%*1000</f>
        <v>5661.5</v>
      </c>
      <c r="CD96" s="4"/>
      <c r="CE96" s="4"/>
      <c r="CF96" t="s">
        <v>793</v>
      </c>
      <c r="CG96">
        <v>100</v>
      </c>
      <c r="CH96" t="s">
        <v>805</v>
      </c>
      <c r="CI96" s="1">
        <v>1.6</v>
      </c>
      <c r="CJ96" s="10" t="s">
        <v>1442</v>
      </c>
      <c r="CK96" t="s">
        <v>807</v>
      </c>
      <c r="CL96" s="4">
        <f>30.2*35%*1000-5661.5</f>
        <v>4908.4999999999982</v>
      </c>
      <c r="CM96" t="s">
        <v>847</v>
      </c>
      <c r="CN96" s="4">
        <f>AVERAGE(103,115)</f>
        <v>109</v>
      </c>
      <c r="CO96" s="4"/>
      <c r="CP96" s="4" t="s">
        <v>1</v>
      </c>
      <c r="CQ96" s="4" t="s">
        <v>1</v>
      </c>
      <c r="CR96" s="4" t="s">
        <v>1</v>
      </c>
      <c r="CS96" s="4" t="s">
        <v>1</v>
      </c>
      <c r="CT96" s="4" t="s">
        <v>1</v>
      </c>
      <c r="CU96" s="4" t="s">
        <v>1</v>
      </c>
      <c r="CV96" s="37" t="s">
        <v>849</v>
      </c>
      <c r="CW96">
        <v>100</v>
      </c>
      <c r="CX96">
        <v>0</v>
      </c>
      <c r="CY96">
        <v>30</v>
      </c>
      <c r="CZ96" s="26" t="s">
        <v>1358</v>
      </c>
      <c r="DA96" t="s">
        <v>734</v>
      </c>
      <c r="DB96">
        <v>36.200000000000003</v>
      </c>
      <c r="DC96">
        <v>0</v>
      </c>
      <c r="DD96">
        <v>30</v>
      </c>
      <c r="DE96" s="26" t="s">
        <v>1358</v>
      </c>
      <c r="DF96" t="s">
        <v>735</v>
      </c>
      <c r="DG96">
        <v>16.399999999999999</v>
      </c>
      <c r="DH96">
        <v>0</v>
      </c>
      <c r="DI96">
        <v>30</v>
      </c>
      <c r="DJ96" s="26" t="s">
        <v>1358</v>
      </c>
      <c r="DK96" t="s">
        <v>736</v>
      </c>
      <c r="DL96">
        <v>47.5</v>
      </c>
      <c r="DM96">
        <v>0</v>
      </c>
      <c r="DN96">
        <v>30</v>
      </c>
      <c r="DO96" s="26" t="s">
        <v>1358</v>
      </c>
      <c r="DP96" t="s">
        <v>1</v>
      </c>
      <c r="DQ96" t="s">
        <v>1</v>
      </c>
      <c r="DR96" t="s">
        <v>1</v>
      </c>
      <c r="DS96" t="s">
        <v>1</v>
      </c>
      <c r="DT96" t="s">
        <v>1</v>
      </c>
      <c r="DU96" t="s">
        <v>1</v>
      </c>
      <c r="EA96" t="s">
        <v>1</v>
      </c>
      <c r="EB96" t="s">
        <v>1</v>
      </c>
      <c r="EC96" t="s">
        <v>1</v>
      </c>
      <c r="ED96" t="s">
        <v>1</v>
      </c>
      <c r="EE96" t="s">
        <v>1</v>
      </c>
      <c r="FZ96" t="s">
        <v>806</v>
      </c>
      <c r="GA96">
        <v>473.5</v>
      </c>
      <c r="GE96" s="26" t="s">
        <v>1358</v>
      </c>
      <c r="HA96" s="5" t="s">
        <v>1</v>
      </c>
      <c r="HB96" s="4" t="s">
        <v>1</v>
      </c>
      <c r="HC96" t="s">
        <v>1</v>
      </c>
      <c r="HD96" t="s">
        <v>1</v>
      </c>
      <c r="HE96" t="s">
        <v>1</v>
      </c>
      <c r="HF96" s="5" t="s">
        <v>1</v>
      </c>
      <c r="HG96" s="4" t="s">
        <v>1</v>
      </c>
      <c r="HH96" t="s">
        <v>1</v>
      </c>
      <c r="HI96" t="s">
        <v>1</v>
      </c>
      <c r="HJ96" t="s">
        <v>1</v>
      </c>
      <c r="HK96" t="s">
        <v>815</v>
      </c>
      <c r="HL96">
        <v>1.4159999999999999</v>
      </c>
      <c r="HM96">
        <v>0</v>
      </c>
      <c r="HN96">
        <v>30</v>
      </c>
      <c r="HO96" t="s">
        <v>1449</v>
      </c>
      <c r="HP96" s="26" t="s">
        <v>1358</v>
      </c>
      <c r="HZ96" t="s">
        <v>1295</v>
      </c>
      <c r="IA96">
        <v>22</v>
      </c>
      <c r="IB96" s="5" t="s">
        <v>820</v>
      </c>
      <c r="IC96" s="5"/>
      <c r="ID96" s="5"/>
      <c r="IE96" s="10" t="s">
        <v>1</v>
      </c>
      <c r="IF96" s="10" t="s">
        <v>1</v>
      </c>
      <c r="IG96" s="10"/>
      <c r="IH96" s="10"/>
      <c r="II96" s="10"/>
      <c r="IJ96" s="10"/>
      <c r="IK96" s="10"/>
      <c r="IL96" s="10"/>
      <c r="IM96" s="10"/>
      <c r="IN96" s="10"/>
      <c r="IO96" s="10"/>
      <c r="IP96" s="10"/>
      <c r="IQ96" s="10"/>
      <c r="IR96" s="10"/>
      <c r="IS96" t="s">
        <v>1</v>
      </c>
      <c r="IT96" t="s">
        <v>1</v>
      </c>
      <c r="IW96" t="s">
        <v>1</v>
      </c>
      <c r="IX96" t="s">
        <v>1</v>
      </c>
      <c r="IY96" t="s">
        <v>1</v>
      </c>
      <c r="IZ96" t="s">
        <v>1</v>
      </c>
      <c r="JA96" t="s">
        <v>1</v>
      </c>
      <c r="JB96" s="3" t="s">
        <v>1</v>
      </c>
      <c r="JC96" t="s">
        <v>1</v>
      </c>
      <c r="JD96" s="4" t="s">
        <v>1</v>
      </c>
      <c r="JE96" t="s">
        <v>810</v>
      </c>
      <c r="JF96">
        <v>100</v>
      </c>
      <c r="JR96" t="s">
        <v>1066</v>
      </c>
      <c r="JS96">
        <v>27</v>
      </c>
      <c r="JU96" t="s">
        <v>1</v>
      </c>
      <c r="JW96" t="s">
        <v>1</v>
      </c>
      <c r="JX96">
        <v>0</v>
      </c>
      <c r="JY96">
        <v>90</v>
      </c>
      <c r="JZ96" t="s">
        <v>796</v>
      </c>
      <c r="KA96" t="s">
        <v>98</v>
      </c>
      <c r="KB96" t="s">
        <v>738</v>
      </c>
      <c r="KC96" t="s">
        <v>1</v>
      </c>
      <c r="KD96" t="s">
        <v>1</v>
      </c>
      <c r="KE96" t="s">
        <v>1</v>
      </c>
      <c r="KF96" t="s">
        <v>1</v>
      </c>
      <c r="KG96" t="s">
        <v>1</v>
      </c>
      <c r="KH96" t="s">
        <v>1</v>
      </c>
      <c r="KI96" t="s">
        <v>1</v>
      </c>
      <c r="KJ96" t="s">
        <v>1</v>
      </c>
      <c r="KK96" t="s">
        <v>1</v>
      </c>
    </row>
    <row r="97" spans="1:297" x14ac:dyDescent="0.2">
      <c r="A97">
        <v>96</v>
      </c>
      <c r="B97" t="s">
        <v>705</v>
      </c>
      <c r="C97" t="s">
        <v>99</v>
      </c>
      <c r="D97" t="s">
        <v>95</v>
      </c>
      <c r="E97">
        <v>12</v>
      </c>
      <c r="F97" t="s">
        <v>96</v>
      </c>
      <c r="G97" t="s">
        <v>1</v>
      </c>
      <c r="H97" s="26" t="s">
        <v>1420</v>
      </c>
      <c r="I97" t="s">
        <v>1</v>
      </c>
      <c r="J97" t="s">
        <v>1</v>
      </c>
      <c r="K97" t="s">
        <v>1</v>
      </c>
      <c r="L97" t="s">
        <v>1</v>
      </c>
      <c r="M97" t="s">
        <v>1</v>
      </c>
      <c r="N97" t="s">
        <v>1</v>
      </c>
      <c r="O97" t="s">
        <v>1</v>
      </c>
      <c r="P97" t="s">
        <v>1</v>
      </c>
      <c r="Q97" t="s">
        <v>1</v>
      </c>
      <c r="R97" t="s">
        <v>1</v>
      </c>
      <c r="S97" t="s">
        <v>1</v>
      </c>
      <c r="T97" t="s">
        <v>1</v>
      </c>
      <c r="U97" t="s">
        <v>1</v>
      </c>
      <c r="V97" t="s">
        <v>1</v>
      </c>
      <c r="W97" t="s">
        <v>1</v>
      </c>
      <c r="X97" t="s">
        <v>1</v>
      </c>
      <c r="Y97" t="s">
        <v>1</v>
      </c>
      <c r="Z97" t="s">
        <v>1</v>
      </c>
      <c r="AA97" t="s">
        <v>1</v>
      </c>
      <c r="AB97" t="s">
        <v>1</v>
      </c>
      <c r="AC97" t="s">
        <v>1</v>
      </c>
      <c r="AD97" t="s">
        <v>1</v>
      </c>
      <c r="AE97" t="s">
        <v>1</v>
      </c>
      <c r="AF97" t="s">
        <v>1</v>
      </c>
      <c r="AG97" t="s">
        <v>1</v>
      </c>
      <c r="AH97" t="s">
        <v>1</v>
      </c>
      <c r="AI97" t="s">
        <v>1</v>
      </c>
      <c r="AJ97" t="s">
        <v>1</v>
      </c>
      <c r="AK97" t="s">
        <v>1</v>
      </c>
      <c r="AL97" t="s">
        <v>1</v>
      </c>
      <c r="AM97" t="s">
        <v>1</v>
      </c>
      <c r="AN97">
        <v>96</v>
      </c>
      <c r="AO97">
        <f t="shared" si="7"/>
        <v>96</v>
      </c>
      <c r="AP97">
        <f t="shared" si="5"/>
        <v>12</v>
      </c>
      <c r="AQ97">
        <f t="shared" si="6"/>
        <v>12</v>
      </c>
      <c r="AR97" s="26" t="s">
        <v>1355</v>
      </c>
      <c r="AS97" s="26" t="s">
        <v>1356</v>
      </c>
      <c r="AT97" t="s">
        <v>713</v>
      </c>
      <c r="AU97" t="s">
        <v>1</v>
      </c>
      <c r="AV97" t="s">
        <v>1</v>
      </c>
      <c r="AW97">
        <v>44.37</v>
      </c>
      <c r="AX97">
        <v>-73.430000000000007</v>
      </c>
      <c r="AY97" t="s">
        <v>737</v>
      </c>
      <c r="BA97" s="3">
        <v>3</v>
      </c>
      <c r="BB97" s="3"/>
      <c r="BC97" s="3"/>
      <c r="BD97" s="3"/>
      <c r="BE97" s="3"/>
      <c r="BF97">
        <v>1993</v>
      </c>
      <c r="BG97" s="24" t="s">
        <v>733</v>
      </c>
      <c r="BH97" s="24" t="s">
        <v>733</v>
      </c>
      <c r="BI97" s="24" t="s">
        <v>733</v>
      </c>
      <c r="BJ97" s="24" t="s">
        <v>732</v>
      </c>
      <c r="BK97" s="24" t="s">
        <v>733</v>
      </c>
      <c r="BL97" s="25" t="s">
        <v>733</v>
      </c>
      <c r="BM97" s="24" t="s">
        <v>733</v>
      </c>
      <c r="BN97" s="24" t="s">
        <v>732</v>
      </c>
      <c r="BO97" s="24" t="s">
        <v>733</v>
      </c>
      <c r="BP97" s="24" t="s">
        <v>733</v>
      </c>
      <c r="BQ97" s="24" t="s">
        <v>945</v>
      </c>
      <c r="BR97" s="24" t="s">
        <v>945</v>
      </c>
      <c r="BS97" s="25" t="s">
        <v>934</v>
      </c>
      <c r="BT97" s="24" t="s">
        <v>934</v>
      </c>
      <c r="BU97" s="24" t="s">
        <v>934</v>
      </c>
      <c r="BV97" s="24" t="s">
        <v>934</v>
      </c>
      <c r="BW97" s="24" t="s">
        <v>934</v>
      </c>
      <c r="BX97" s="24" t="s">
        <v>934</v>
      </c>
      <c r="BY97" s="25" t="s">
        <v>945</v>
      </c>
      <c r="BZ97" t="s">
        <v>5</v>
      </c>
      <c r="CB97" t="s">
        <v>1</v>
      </c>
      <c r="CC97" s="4">
        <f>11.4*84.5%*1000</f>
        <v>9633</v>
      </c>
      <c r="CD97" s="4"/>
      <c r="CE97" s="4"/>
      <c r="CF97" t="s">
        <v>793</v>
      </c>
      <c r="CG97">
        <v>100</v>
      </c>
      <c r="CH97" t="s">
        <v>805</v>
      </c>
      <c r="CI97" s="1">
        <v>1.6</v>
      </c>
      <c r="CJ97" s="10" t="s">
        <v>1442</v>
      </c>
      <c r="CK97" t="s">
        <v>807</v>
      </c>
      <c r="CL97" s="4">
        <f>46.5*35%*1000-9633</f>
        <v>6641.9999999999982</v>
      </c>
      <c r="CM97" t="s">
        <v>847</v>
      </c>
      <c r="CN97" s="4">
        <f>AVERAGE(142,159)</f>
        <v>150.5</v>
      </c>
      <c r="CO97" s="4"/>
      <c r="CP97" s="4" t="s">
        <v>1</v>
      </c>
      <c r="CQ97" s="4" t="s">
        <v>1</v>
      </c>
      <c r="CR97" s="4" t="s">
        <v>1</v>
      </c>
      <c r="CS97" s="4" t="s">
        <v>1</v>
      </c>
      <c r="CT97" s="4" t="s">
        <v>1</v>
      </c>
      <c r="CU97" s="4" t="s">
        <v>1</v>
      </c>
      <c r="CV97" s="37" t="s">
        <v>849</v>
      </c>
      <c r="CW97">
        <v>100</v>
      </c>
      <c r="CX97">
        <v>0</v>
      </c>
      <c r="CY97">
        <v>30</v>
      </c>
      <c r="CZ97" s="26" t="s">
        <v>1358</v>
      </c>
      <c r="DA97" t="s">
        <v>734</v>
      </c>
      <c r="DB97">
        <v>36.200000000000003</v>
      </c>
      <c r="DC97">
        <v>0</v>
      </c>
      <c r="DD97">
        <v>30</v>
      </c>
      <c r="DE97" s="26" t="s">
        <v>1358</v>
      </c>
      <c r="DF97" t="s">
        <v>735</v>
      </c>
      <c r="DG97">
        <v>16.399999999999999</v>
      </c>
      <c r="DH97">
        <v>0</v>
      </c>
      <c r="DI97">
        <v>30</v>
      </c>
      <c r="DJ97" s="26" t="s">
        <v>1358</v>
      </c>
      <c r="DK97" t="s">
        <v>736</v>
      </c>
      <c r="DL97">
        <v>47.5</v>
      </c>
      <c r="DM97">
        <v>0</v>
      </c>
      <c r="DN97">
        <v>30</v>
      </c>
      <c r="DO97" s="26" t="s">
        <v>1358</v>
      </c>
      <c r="DP97" t="s">
        <v>1</v>
      </c>
      <c r="DQ97" t="s">
        <v>1</v>
      </c>
      <c r="DR97" t="s">
        <v>1</v>
      </c>
      <c r="DS97" t="s">
        <v>1</v>
      </c>
      <c r="DT97" t="s">
        <v>1</v>
      </c>
      <c r="DU97" t="s">
        <v>1</v>
      </c>
      <c r="EA97" t="s">
        <v>1</v>
      </c>
      <c r="EB97" t="s">
        <v>1</v>
      </c>
      <c r="EC97" t="s">
        <v>1</v>
      </c>
      <c r="ED97" t="s">
        <v>1</v>
      </c>
      <c r="EE97" t="s">
        <v>1</v>
      </c>
      <c r="FZ97" t="s">
        <v>806</v>
      </c>
      <c r="GA97">
        <v>473.5</v>
      </c>
      <c r="GE97" s="26" t="s">
        <v>1358</v>
      </c>
      <c r="HA97" s="5" t="s">
        <v>1</v>
      </c>
      <c r="HB97" s="4" t="s">
        <v>1</v>
      </c>
      <c r="HC97" t="s">
        <v>1</v>
      </c>
      <c r="HD97" t="s">
        <v>1</v>
      </c>
      <c r="HE97" t="s">
        <v>1</v>
      </c>
      <c r="HF97" s="5" t="s">
        <v>1</v>
      </c>
      <c r="HG97" s="4" t="s">
        <v>1</v>
      </c>
      <c r="HH97" t="s">
        <v>1</v>
      </c>
      <c r="HI97" t="s">
        <v>1</v>
      </c>
      <c r="HJ97" t="s">
        <v>1</v>
      </c>
      <c r="HK97" t="s">
        <v>815</v>
      </c>
      <c r="HL97">
        <v>1.4159999999999999</v>
      </c>
      <c r="HM97">
        <v>0</v>
      </c>
      <c r="HN97">
        <v>30</v>
      </c>
      <c r="HO97" t="s">
        <v>1449</v>
      </c>
      <c r="HP97" s="26" t="s">
        <v>1358</v>
      </c>
      <c r="HZ97" t="s">
        <v>1295</v>
      </c>
      <c r="IA97">
        <v>100</v>
      </c>
      <c r="IB97" s="5" t="s">
        <v>820</v>
      </c>
      <c r="IC97" s="5"/>
      <c r="ID97" s="5"/>
      <c r="IE97" s="10" t="s">
        <v>1</v>
      </c>
      <c r="IF97" s="10" t="s">
        <v>1</v>
      </c>
      <c r="IG97" s="10"/>
      <c r="IH97" s="10"/>
      <c r="II97" s="10"/>
      <c r="IJ97" s="10"/>
      <c r="IK97" s="10"/>
      <c r="IL97" s="10"/>
      <c r="IM97" s="10"/>
      <c r="IN97" s="10"/>
      <c r="IO97" s="10"/>
      <c r="IP97" s="10"/>
      <c r="IQ97" s="10"/>
      <c r="IR97" s="10"/>
      <c r="IS97" t="s">
        <v>1</v>
      </c>
      <c r="IT97" t="s">
        <v>1</v>
      </c>
      <c r="IW97" t="s">
        <v>1</v>
      </c>
      <c r="IX97" t="s">
        <v>1</v>
      </c>
      <c r="IY97" t="s">
        <v>1</v>
      </c>
      <c r="IZ97" t="s">
        <v>1</v>
      </c>
      <c r="JA97" t="s">
        <v>1</v>
      </c>
      <c r="JB97" s="3" t="s">
        <v>1</v>
      </c>
      <c r="JC97" t="s">
        <v>1</v>
      </c>
      <c r="JD97" s="4" t="s">
        <v>1</v>
      </c>
      <c r="JE97" t="s">
        <v>810</v>
      </c>
      <c r="JF97">
        <v>100</v>
      </c>
      <c r="JR97" t="s">
        <v>1066</v>
      </c>
      <c r="JS97">
        <v>30.5</v>
      </c>
      <c r="JU97" t="s">
        <v>1</v>
      </c>
      <c r="JW97" t="s">
        <v>1</v>
      </c>
      <c r="JX97">
        <v>0</v>
      </c>
      <c r="JY97">
        <v>90</v>
      </c>
      <c r="JZ97" t="s">
        <v>796</v>
      </c>
      <c r="KA97" t="s">
        <v>98</v>
      </c>
      <c r="KB97" t="s">
        <v>738</v>
      </c>
      <c r="KC97" t="s">
        <v>1</v>
      </c>
      <c r="KD97" t="s">
        <v>1</v>
      </c>
      <c r="KE97" t="s">
        <v>1</v>
      </c>
      <c r="KF97" t="s">
        <v>1</v>
      </c>
      <c r="KG97" t="s">
        <v>1</v>
      </c>
      <c r="KH97" t="s">
        <v>1</v>
      </c>
      <c r="KI97" t="s">
        <v>1</v>
      </c>
      <c r="KJ97" t="s">
        <v>1</v>
      </c>
      <c r="KK97" t="s">
        <v>1</v>
      </c>
    </row>
    <row r="98" spans="1:297" x14ac:dyDescent="0.2">
      <c r="A98">
        <v>97</v>
      </c>
      <c r="B98" t="s">
        <v>705</v>
      </c>
      <c r="C98" t="s">
        <v>97</v>
      </c>
      <c r="D98" t="s">
        <v>95</v>
      </c>
      <c r="E98">
        <v>12</v>
      </c>
      <c r="F98" t="s">
        <v>96</v>
      </c>
      <c r="G98" t="s">
        <v>1</v>
      </c>
      <c r="H98" s="26" t="s">
        <v>1420</v>
      </c>
      <c r="I98" t="s">
        <v>1</v>
      </c>
      <c r="J98" t="s">
        <v>1</v>
      </c>
      <c r="K98" t="s">
        <v>1</v>
      </c>
      <c r="L98" t="s">
        <v>1</v>
      </c>
      <c r="M98" t="s">
        <v>1</v>
      </c>
      <c r="N98" t="s">
        <v>1</v>
      </c>
      <c r="O98" t="s">
        <v>1</v>
      </c>
      <c r="P98" t="s">
        <v>1</v>
      </c>
      <c r="Q98" t="s">
        <v>1</v>
      </c>
      <c r="R98" t="s">
        <v>1</v>
      </c>
      <c r="S98" t="s">
        <v>1</v>
      </c>
      <c r="T98" t="s">
        <v>1</v>
      </c>
      <c r="U98" t="s">
        <v>1</v>
      </c>
      <c r="V98" t="s">
        <v>1</v>
      </c>
      <c r="W98" t="s">
        <v>1</v>
      </c>
      <c r="X98" t="s">
        <v>1</v>
      </c>
      <c r="Y98" t="s">
        <v>1</v>
      </c>
      <c r="Z98" t="s">
        <v>1</v>
      </c>
      <c r="AA98" t="s">
        <v>1</v>
      </c>
      <c r="AB98" t="s">
        <v>1</v>
      </c>
      <c r="AC98" t="s">
        <v>1</v>
      </c>
      <c r="AD98" t="s">
        <v>1</v>
      </c>
      <c r="AE98" t="s">
        <v>1</v>
      </c>
      <c r="AF98" t="s">
        <v>1</v>
      </c>
      <c r="AG98" t="s">
        <v>1</v>
      </c>
      <c r="AH98" t="s">
        <v>1</v>
      </c>
      <c r="AI98" t="s">
        <v>1</v>
      </c>
      <c r="AJ98" t="s">
        <v>1</v>
      </c>
      <c r="AK98" t="s">
        <v>1</v>
      </c>
      <c r="AL98" t="s">
        <v>1</v>
      </c>
      <c r="AM98" t="s">
        <v>1</v>
      </c>
      <c r="AN98">
        <v>97</v>
      </c>
      <c r="AO98">
        <f t="shared" si="7"/>
        <v>97</v>
      </c>
      <c r="AP98">
        <f t="shared" si="5"/>
        <v>12</v>
      </c>
      <c r="AQ98">
        <f t="shared" si="6"/>
        <v>12</v>
      </c>
      <c r="AR98" s="26" t="s">
        <v>1355</v>
      </c>
      <c r="AS98" s="26" t="s">
        <v>1356</v>
      </c>
      <c r="AT98" t="s">
        <v>713</v>
      </c>
      <c r="AU98" t="s">
        <v>1</v>
      </c>
      <c r="AV98" t="s">
        <v>1</v>
      </c>
      <c r="AW98">
        <v>44.37</v>
      </c>
      <c r="AX98">
        <v>-73.430000000000007</v>
      </c>
      <c r="AY98" t="s">
        <v>737</v>
      </c>
      <c r="BA98" s="3">
        <v>2</v>
      </c>
      <c r="BB98" s="3"/>
      <c r="BC98" s="3"/>
      <c r="BD98" s="3"/>
      <c r="BE98" s="3"/>
      <c r="BF98">
        <v>1992</v>
      </c>
      <c r="BG98" s="24" t="s">
        <v>733</v>
      </c>
      <c r="BH98" s="24" t="s">
        <v>733</v>
      </c>
      <c r="BI98" s="24" t="s">
        <v>733</v>
      </c>
      <c r="BJ98" s="24" t="s">
        <v>732</v>
      </c>
      <c r="BK98" s="24" t="s">
        <v>733</v>
      </c>
      <c r="BL98" s="25" t="s">
        <v>733</v>
      </c>
      <c r="BM98" s="24" t="s">
        <v>733</v>
      </c>
      <c r="BN98" s="24" t="s">
        <v>732</v>
      </c>
      <c r="BO98" s="24" t="s">
        <v>733</v>
      </c>
      <c r="BP98" s="24" t="s">
        <v>733</v>
      </c>
      <c r="BQ98" s="24" t="s">
        <v>945</v>
      </c>
      <c r="BR98" s="24" t="s">
        <v>945</v>
      </c>
      <c r="BS98" s="25" t="s">
        <v>934</v>
      </c>
      <c r="BT98" s="24" t="s">
        <v>934</v>
      </c>
      <c r="BU98" s="24" t="s">
        <v>934</v>
      </c>
      <c r="BV98" s="24" t="s">
        <v>934</v>
      </c>
      <c r="BW98" s="24" t="s">
        <v>934</v>
      </c>
      <c r="BX98" s="24" t="s">
        <v>934</v>
      </c>
      <c r="BY98" s="25" t="s">
        <v>945</v>
      </c>
      <c r="BZ98" t="s">
        <v>5</v>
      </c>
      <c r="CB98" t="s">
        <v>1</v>
      </c>
      <c r="CC98" s="4">
        <f>AVERAGE(10.7,8.2,5.2)*84.5%*1000</f>
        <v>6788.1666666666661</v>
      </c>
      <c r="CD98" s="4"/>
      <c r="CE98" s="4"/>
      <c r="CF98" t="s">
        <v>793</v>
      </c>
      <c r="CG98">
        <v>100</v>
      </c>
      <c r="CH98" t="s">
        <v>805</v>
      </c>
      <c r="CI98" s="1">
        <v>1.6</v>
      </c>
      <c r="CJ98" s="10" t="s">
        <v>1442</v>
      </c>
      <c r="CK98" t="s">
        <v>807</v>
      </c>
      <c r="CL98" s="4">
        <f>AVERAGE(53.6,37.9,22.6)*35%*1000-6788.16666666667</f>
        <v>6523.4999999999964</v>
      </c>
      <c r="CM98" t="s">
        <v>847</v>
      </c>
      <c r="CN98" s="4">
        <f>AVERAGE(158,103,115)</f>
        <v>125.33333333333333</v>
      </c>
      <c r="CO98" s="4"/>
      <c r="CP98" s="4" t="s">
        <v>1</v>
      </c>
      <c r="CQ98" s="4" t="s">
        <v>1</v>
      </c>
      <c r="CR98" s="4" t="s">
        <v>1</v>
      </c>
      <c r="CS98" s="4" t="s">
        <v>1</v>
      </c>
      <c r="CT98" s="4" t="s">
        <v>1</v>
      </c>
      <c r="CU98" s="4" t="s">
        <v>1</v>
      </c>
      <c r="CV98" s="37" t="s">
        <v>849</v>
      </c>
      <c r="CW98">
        <v>100</v>
      </c>
      <c r="CX98">
        <v>0</v>
      </c>
      <c r="CY98">
        <v>30</v>
      </c>
      <c r="CZ98" s="26" t="s">
        <v>1358</v>
      </c>
      <c r="DA98" t="s">
        <v>734</v>
      </c>
      <c r="DB98">
        <v>36.200000000000003</v>
      </c>
      <c r="DC98">
        <v>0</v>
      </c>
      <c r="DD98">
        <v>30</v>
      </c>
      <c r="DE98" s="26" t="s">
        <v>1358</v>
      </c>
      <c r="DF98" t="s">
        <v>735</v>
      </c>
      <c r="DG98">
        <v>16.399999999999999</v>
      </c>
      <c r="DH98">
        <v>0</v>
      </c>
      <c r="DI98">
        <v>30</v>
      </c>
      <c r="DJ98" s="26" t="s">
        <v>1358</v>
      </c>
      <c r="DK98" t="s">
        <v>736</v>
      </c>
      <c r="DL98">
        <v>47.5</v>
      </c>
      <c r="DM98">
        <v>0</v>
      </c>
      <c r="DN98">
        <v>30</v>
      </c>
      <c r="DO98" s="26" t="s">
        <v>1358</v>
      </c>
      <c r="DP98" t="s">
        <v>1</v>
      </c>
      <c r="DQ98" t="s">
        <v>1</v>
      </c>
      <c r="DR98" t="s">
        <v>1</v>
      </c>
      <c r="DS98" t="s">
        <v>1</v>
      </c>
      <c r="DT98" t="s">
        <v>1</v>
      </c>
      <c r="DU98" t="s">
        <v>1</v>
      </c>
      <c r="EA98" t="s">
        <v>1</v>
      </c>
      <c r="EB98" t="s">
        <v>1</v>
      </c>
      <c r="EC98" t="s">
        <v>1</v>
      </c>
      <c r="ED98" t="s">
        <v>1</v>
      </c>
      <c r="EE98" t="s">
        <v>1</v>
      </c>
      <c r="FZ98" t="s">
        <v>806</v>
      </c>
      <c r="GA98">
        <v>450.33333329999999</v>
      </c>
      <c r="GE98" s="26" t="s">
        <v>1358</v>
      </c>
      <c r="HA98" s="5" t="s">
        <v>1</v>
      </c>
      <c r="HB98" s="4" t="s">
        <v>1</v>
      </c>
      <c r="HC98" t="s">
        <v>1</v>
      </c>
      <c r="HD98" t="s">
        <v>1</v>
      </c>
      <c r="HE98" t="s">
        <v>1</v>
      </c>
      <c r="HF98" s="5" t="s">
        <v>1</v>
      </c>
      <c r="HG98" s="4" t="s">
        <v>1</v>
      </c>
      <c r="HH98" t="s">
        <v>1</v>
      </c>
      <c r="HI98" t="s">
        <v>1</v>
      </c>
      <c r="HJ98" t="s">
        <v>1</v>
      </c>
      <c r="HK98" t="s">
        <v>815</v>
      </c>
      <c r="HL98">
        <v>1.4159999999999999</v>
      </c>
      <c r="HM98">
        <v>0</v>
      </c>
      <c r="HN98">
        <v>30</v>
      </c>
      <c r="HO98" t="s">
        <v>1449</v>
      </c>
      <c r="HP98" s="26" t="s">
        <v>1358</v>
      </c>
      <c r="HZ98" t="s">
        <v>1295</v>
      </c>
      <c r="IA98">
        <v>22</v>
      </c>
      <c r="IB98" s="5" t="s">
        <v>820</v>
      </c>
      <c r="IC98" s="5"/>
      <c r="ID98" s="5"/>
      <c r="IE98" s="10" t="s">
        <v>1</v>
      </c>
      <c r="IF98" s="10" t="s">
        <v>1</v>
      </c>
      <c r="IG98" s="10"/>
      <c r="IH98" s="10"/>
      <c r="II98" s="10"/>
      <c r="IJ98" s="10"/>
      <c r="IK98" s="10"/>
      <c r="IL98" s="10"/>
      <c r="IM98" s="10"/>
      <c r="IN98" s="10"/>
      <c r="IO98" s="10"/>
      <c r="IP98" s="10"/>
      <c r="IQ98" s="10"/>
      <c r="IR98" s="10"/>
      <c r="IS98" t="s">
        <v>1</v>
      </c>
      <c r="IT98" t="s">
        <v>1</v>
      </c>
      <c r="IW98" t="s">
        <v>1</v>
      </c>
      <c r="IX98" t="s">
        <v>1</v>
      </c>
      <c r="IY98" t="s">
        <v>1</v>
      </c>
      <c r="IZ98" t="s">
        <v>1</v>
      </c>
      <c r="JA98" t="s">
        <v>1</v>
      </c>
      <c r="JB98" s="3" t="s">
        <v>1</v>
      </c>
      <c r="JC98" t="s">
        <v>1</v>
      </c>
      <c r="JD98" s="4" t="s">
        <v>1</v>
      </c>
      <c r="JE98" t="s">
        <v>810</v>
      </c>
      <c r="JF98">
        <v>100</v>
      </c>
      <c r="JR98" t="s">
        <v>1066</v>
      </c>
      <c r="JS98">
        <v>29.4</v>
      </c>
      <c r="JU98" t="s">
        <v>1</v>
      </c>
      <c r="JW98" t="s">
        <v>1</v>
      </c>
      <c r="JX98">
        <v>0</v>
      </c>
      <c r="JY98">
        <v>90</v>
      </c>
      <c r="JZ98" t="s">
        <v>796</v>
      </c>
      <c r="KA98" t="s">
        <v>98</v>
      </c>
      <c r="KB98" t="s">
        <v>738</v>
      </c>
      <c r="KC98" t="s">
        <v>1</v>
      </c>
      <c r="KD98" t="s">
        <v>1</v>
      </c>
      <c r="KE98" t="s">
        <v>1</v>
      </c>
      <c r="KF98" t="s">
        <v>1</v>
      </c>
      <c r="KG98" t="s">
        <v>1</v>
      </c>
      <c r="KH98" t="s">
        <v>1</v>
      </c>
      <c r="KI98" t="s">
        <v>1</v>
      </c>
      <c r="KJ98" t="s">
        <v>1</v>
      </c>
      <c r="KK98" t="s">
        <v>1</v>
      </c>
    </row>
    <row r="99" spans="1:297" x14ac:dyDescent="0.2">
      <c r="A99">
        <v>98</v>
      </c>
      <c r="B99" t="s">
        <v>705</v>
      </c>
      <c r="C99" t="s">
        <v>100</v>
      </c>
      <c r="D99" t="s">
        <v>95</v>
      </c>
      <c r="E99">
        <v>12</v>
      </c>
      <c r="F99" t="s">
        <v>96</v>
      </c>
      <c r="G99" t="s">
        <v>1</v>
      </c>
      <c r="H99" s="26" t="s">
        <v>1420</v>
      </c>
      <c r="I99" t="s">
        <v>1</v>
      </c>
      <c r="J99" t="s">
        <v>1</v>
      </c>
      <c r="K99" t="s">
        <v>1</v>
      </c>
      <c r="L99" t="s">
        <v>1</v>
      </c>
      <c r="M99" t="s">
        <v>1</v>
      </c>
      <c r="N99" t="s">
        <v>1</v>
      </c>
      <c r="O99" t="s">
        <v>1</v>
      </c>
      <c r="P99" t="s">
        <v>1</v>
      </c>
      <c r="Q99" t="s">
        <v>1</v>
      </c>
      <c r="R99" t="s">
        <v>1</v>
      </c>
      <c r="S99" t="s">
        <v>1</v>
      </c>
      <c r="T99" t="s">
        <v>1</v>
      </c>
      <c r="U99" t="s">
        <v>1</v>
      </c>
      <c r="V99" t="s">
        <v>1</v>
      </c>
      <c r="W99" t="s">
        <v>1</v>
      </c>
      <c r="X99" t="s">
        <v>1</v>
      </c>
      <c r="Y99" t="s">
        <v>1</v>
      </c>
      <c r="Z99" t="s">
        <v>1</v>
      </c>
      <c r="AA99" t="s">
        <v>1</v>
      </c>
      <c r="AB99" t="s">
        <v>1</v>
      </c>
      <c r="AC99" t="s">
        <v>1</v>
      </c>
      <c r="AD99" t="s">
        <v>1</v>
      </c>
      <c r="AE99" t="s">
        <v>1</v>
      </c>
      <c r="AF99" t="s">
        <v>1</v>
      </c>
      <c r="AG99" t="s">
        <v>1</v>
      </c>
      <c r="AH99" t="s">
        <v>1</v>
      </c>
      <c r="AI99" t="s">
        <v>1</v>
      </c>
      <c r="AJ99" t="s">
        <v>1</v>
      </c>
      <c r="AK99" t="s">
        <v>1</v>
      </c>
      <c r="AL99" t="s">
        <v>1</v>
      </c>
      <c r="AM99" t="s">
        <v>1</v>
      </c>
      <c r="AN99">
        <v>98</v>
      </c>
      <c r="AO99">
        <f t="shared" si="7"/>
        <v>98</v>
      </c>
      <c r="AP99">
        <f t="shared" si="5"/>
        <v>12</v>
      </c>
      <c r="AQ99">
        <f t="shared" si="6"/>
        <v>12</v>
      </c>
      <c r="AR99" s="26" t="s">
        <v>1355</v>
      </c>
      <c r="AS99" s="26" t="s">
        <v>1356</v>
      </c>
      <c r="AT99" t="s">
        <v>713</v>
      </c>
      <c r="AU99" t="s">
        <v>1</v>
      </c>
      <c r="AV99" t="s">
        <v>1</v>
      </c>
      <c r="AW99">
        <v>44.37</v>
      </c>
      <c r="AX99">
        <v>-73.430000000000007</v>
      </c>
      <c r="AY99" t="s">
        <v>737</v>
      </c>
      <c r="BA99" s="3">
        <v>3</v>
      </c>
      <c r="BB99" s="3"/>
      <c r="BC99" s="3"/>
      <c r="BD99" s="3"/>
      <c r="BE99" s="3"/>
      <c r="BF99">
        <v>1992</v>
      </c>
      <c r="BG99" s="24" t="s">
        <v>733</v>
      </c>
      <c r="BH99" s="24" t="s">
        <v>733</v>
      </c>
      <c r="BI99" s="24" t="s">
        <v>733</v>
      </c>
      <c r="BJ99" s="24" t="s">
        <v>732</v>
      </c>
      <c r="BK99" s="24" t="s">
        <v>733</v>
      </c>
      <c r="BL99" s="25" t="s">
        <v>733</v>
      </c>
      <c r="BM99" s="24" t="s">
        <v>733</v>
      </c>
      <c r="BN99" s="24" t="s">
        <v>732</v>
      </c>
      <c r="BO99" s="24" t="s">
        <v>733</v>
      </c>
      <c r="BP99" s="24" t="s">
        <v>733</v>
      </c>
      <c r="BQ99" s="24" t="s">
        <v>945</v>
      </c>
      <c r="BR99" s="24" t="s">
        <v>945</v>
      </c>
      <c r="BS99" s="25" t="s">
        <v>934</v>
      </c>
      <c r="BT99" s="24" t="s">
        <v>934</v>
      </c>
      <c r="BU99" s="24" t="s">
        <v>934</v>
      </c>
      <c r="BV99" s="24" t="s">
        <v>934</v>
      </c>
      <c r="BW99" s="24" t="s">
        <v>934</v>
      </c>
      <c r="BX99" s="24" t="s">
        <v>934</v>
      </c>
      <c r="BY99" s="25" t="s">
        <v>945</v>
      </c>
      <c r="BZ99" t="s">
        <v>5</v>
      </c>
      <c r="CB99" t="s">
        <v>1</v>
      </c>
      <c r="CC99" s="4">
        <f>AVERAGE(11.4,11.8,11.6)*84.5%*1000</f>
        <v>9802.0000000000018</v>
      </c>
      <c r="CD99" s="4"/>
      <c r="CE99" s="4"/>
      <c r="CF99" t="s">
        <v>793</v>
      </c>
      <c r="CG99">
        <v>100</v>
      </c>
      <c r="CH99" t="s">
        <v>805</v>
      </c>
      <c r="CI99" s="1">
        <v>1.6</v>
      </c>
      <c r="CJ99" s="10" t="s">
        <v>1442</v>
      </c>
      <c r="CK99" t="s">
        <v>807</v>
      </c>
      <c r="CL99" s="4">
        <f>AVERAGE(57.9,49.9,44.8)*35%*1000-9802</f>
        <v>8001.3333333333321</v>
      </c>
      <c r="CM99" t="s">
        <v>847</v>
      </c>
      <c r="CN99" s="4">
        <f>AVERAGE(210,186,208)</f>
        <v>201.33333333333334</v>
      </c>
      <c r="CO99" s="4"/>
      <c r="CP99" s="4" t="s">
        <v>1</v>
      </c>
      <c r="CQ99" s="4" t="s">
        <v>1</v>
      </c>
      <c r="CR99" s="4" t="s">
        <v>1</v>
      </c>
      <c r="CS99" s="4" t="s">
        <v>1</v>
      </c>
      <c r="CT99" s="4" t="s">
        <v>1</v>
      </c>
      <c r="CU99" s="4" t="s">
        <v>1</v>
      </c>
      <c r="CV99" s="37" t="s">
        <v>849</v>
      </c>
      <c r="CW99">
        <v>100</v>
      </c>
      <c r="CX99">
        <v>0</v>
      </c>
      <c r="CY99">
        <v>30</v>
      </c>
      <c r="CZ99" s="26" t="s">
        <v>1358</v>
      </c>
      <c r="DA99" t="s">
        <v>734</v>
      </c>
      <c r="DB99">
        <v>36.200000000000003</v>
      </c>
      <c r="DC99">
        <v>0</v>
      </c>
      <c r="DD99">
        <v>30</v>
      </c>
      <c r="DE99" s="26" t="s">
        <v>1358</v>
      </c>
      <c r="DF99" t="s">
        <v>735</v>
      </c>
      <c r="DG99">
        <v>16.399999999999999</v>
      </c>
      <c r="DH99">
        <v>0</v>
      </c>
      <c r="DI99">
        <v>30</v>
      </c>
      <c r="DJ99" s="26" t="s">
        <v>1358</v>
      </c>
      <c r="DK99" t="s">
        <v>736</v>
      </c>
      <c r="DL99">
        <v>47.5</v>
      </c>
      <c r="DM99">
        <v>0</v>
      </c>
      <c r="DN99">
        <v>30</v>
      </c>
      <c r="DO99" s="26" t="s">
        <v>1358</v>
      </c>
      <c r="DP99" t="s">
        <v>1</v>
      </c>
      <c r="DQ99" t="s">
        <v>1</v>
      </c>
      <c r="DR99" t="s">
        <v>1</v>
      </c>
      <c r="DS99" t="s">
        <v>1</v>
      </c>
      <c r="DT99" t="s">
        <v>1</v>
      </c>
      <c r="DU99" t="s">
        <v>1</v>
      </c>
      <c r="EA99" t="s">
        <v>1</v>
      </c>
      <c r="EB99" t="s">
        <v>1</v>
      </c>
      <c r="EC99" t="s">
        <v>1</v>
      </c>
      <c r="ED99" t="s">
        <v>1</v>
      </c>
      <c r="EE99" t="s">
        <v>1</v>
      </c>
      <c r="FZ99" t="s">
        <v>806</v>
      </c>
      <c r="GA99">
        <v>450.33333329999999</v>
      </c>
      <c r="GE99" s="26" t="s">
        <v>1358</v>
      </c>
      <c r="HA99" s="5" t="s">
        <v>1</v>
      </c>
      <c r="HB99" s="4" t="s">
        <v>1</v>
      </c>
      <c r="HC99" t="s">
        <v>1</v>
      </c>
      <c r="HD99" t="s">
        <v>1</v>
      </c>
      <c r="HE99" t="s">
        <v>1</v>
      </c>
      <c r="HF99" s="5" t="s">
        <v>1</v>
      </c>
      <c r="HG99" s="4" t="s">
        <v>1</v>
      </c>
      <c r="HH99" t="s">
        <v>1</v>
      </c>
      <c r="HI99" t="s">
        <v>1</v>
      </c>
      <c r="HJ99" t="s">
        <v>1</v>
      </c>
      <c r="HK99" t="s">
        <v>815</v>
      </c>
      <c r="HL99">
        <v>1.4159999999999999</v>
      </c>
      <c r="HM99">
        <v>0</v>
      </c>
      <c r="HN99">
        <v>30</v>
      </c>
      <c r="HO99" t="s">
        <v>1449</v>
      </c>
      <c r="HP99" s="26" t="s">
        <v>1358</v>
      </c>
      <c r="HZ99" t="s">
        <v>1295</v>
      </c>
      <c r="IA99">
        <v>134</v>
      </c>
      <c r="IB99" s="5" t="s">
        <v>820</v>
      </c>
      <c r="IC99" s="5"/>
      <c r="ID99" s="5"/>
      <c r="IE99" s="10" t="s">
        <v>1</v>
      </c>
      <c r="IF99" s="10" t="s">
        <v>1</v>
      </c>
      <c r="IG99" s="10"/>
      <c r="IH99" s="10"/>
      <c r="II99" s="10"/>
      <c r="IJ99" s="10"/>
      <c r="IK99" s="10"/>
      <c r="IL99" s="10"/>
      <c r="IM99" s="10"/>
      <c r="IN99" s="10"/>
      <c r="IO99" s="10"/>
      <c r="IP99" s="10"/>
      <c r="IQ99" s="10"/>
      <c r="IR99" s="10"/>
      <c r="IS99" t="s">
        <v>1</v>
      </c>
      <c r="IT99" t="s">
        <v>1</v>
      </c>
      <c r="IW99" t="s">
        <v>1</v>
      </c>
      <c r="IX99" t="s">
        <v>1</v>
      </c>
      <c r="IY99" t="s">
        <v>1</v>
      </c>
      <c r="IZ99" t="s">
        <v>1</v>
      </c>
      <c r="JA99" t="s">
        <v>1</v>
      </c>
      <c r="JB99" s="3" t="s">
        <v>1</v>
      </c>
      <c r="JC99" t="s">
        <v>1</v>
      </c>
      <c r="JD99" s="4" t="s">
        <v>1</v>
      </c>
      <c r="JE99" t="s">
        <v>810</v>
      </c>
      <c r="JF99">
        <v>100</v>
      </c>
      <c r="JR99" t="s">
        <v>1066</v>
      </c>
      <c r="JS99">
        <v>62.4</v>
      </c>
      <c r="JU99" t="s">
        <v>1</v>
      </c>
      <c r="JW99" t="s">
        <v>1</v>
      </c>
      <c r="JX99">
        <v>0</v>
      </c>
      <c r="JY99">
        <v>90</v>
      </c>
      <c r="JZ99" t="s">
        <v>796</v>
      </c>
      <c r="KA99" t="s">
        <v>98</v>
      </c>
      <c r="KB99" t="s">
        <v>738</v>
      </c>
      <c r="KC99" t="s">
        <v>1</v>
      </c>
      <c r="KD99" t="s">
        <v>1</v>
      </c>
      <c r="KE99" t="s">
        <v>1</v>
      </c>
      <c r="KF99" t="s">
        <v>1</v>
      </c>
      <c r="KG99" t="s">
        <v>1</v>
      </c>
      <c r="KH99" t="s">
        <v>1</v>
      </c>
      <c r="KI99" t="s">
        <v>1</v>
      </c>
      <c r="KJ99" t="s">
        <v>1</v>
      </c>
      <c r="KK99" t="s">
        <v>1</v>
      </c>
    </row>
    <row r="100" spans="1:297" x14ac:dyDescent="0.2">
      <c r="A100">
        <v>99</v>
      </c>
      <c r="B100" t="s">
        <v>705</v>
      </c>
      <c r="C100" t="s">
        <v>101</v>
      </c>
      <c r="D100" t="s">
        <v>95</v>
      </c>
      <c r="E100">
        <v>12</v>
      </c>
      <c r="F100" t="s">
        <v>96</v>
      </c>
      <c r="G100" t="s">
        <v>1</v>
      </c>
      <c r="H100" s="26" t="s">
        <v>1420</v>
      </c>
      <c r="I100" t="s">
        <v>1</v>
      </c>
      <c r="J100" t="s">
        <v>1</v>
      </c>
      <c r="K100" t="s">
        <v>1</v>
      </c>
      <c r="L100" t="s">
        <v>1</v>
      </c>
      <c r="M100" t="s">
        <v>1</v>
      </c>
      <c r="N100" t="s">
        <v>1</v>
      </c>
      <c r="O100" t="s">
        <v>1</v>
      </c>
      <c r="P100" t="s">
        <v>1</v>
      </c>
      <c r="Q100" t="s">
        <v>1</v>
      </c>
      <c r="R100" t="s">
        <v>1</v>
      </c>
      <c r="S100" t="s">
        <v>1</v>
      </c>
      <c r="T100" t="s">
        <v>1</v>
      </c>
      <c r="U100" t="s">
        <v>1</v>
      </c>
      <c r="V100" t="s">
        <v>1</v>
      </c>
      <c r="W100" t="s">
        <v>1</v>
      </c>
      <c r="X100" t="s">
        <v>1</v>
      </c>
      <c r="Y100" t="s">
        <v>1</v>
      </c>
      <c r="Z100" t="s">
        <v>1</v>
      </c>
      <c r="AA100" t="s">
        <v>1</v>
      </c>
      <c r="AB100" t="s">
        <v>1</v>
      </c>
      <c r="AC100" t="s">
        <v>1</v>
      </c>
      <c r="AD100" t="s">
        <v>1</v>
      </c>
      <c r="AE100" t="s">
        <v>1</v>
      </c>
      <c r="AF100" t="s">
        <v>1</v>
      </c>
      <c r="AG100" t="s">
        <v>1</v>
      </c>
      <c r="AH100" t="s">
        <v>1</v>
      </c>
      <c r="AI100" t="s">
        <v>1</v>
      </c>
      <c r="AJ100" t="s">
        <v>1</v>
      </c>
      <c r="AK100" t="s">
        <v>1</v>
      </c>
      <c r="AL100" t="s">
        <v>1</v>
      </c>
      <c r="AM100" t="s">
        <v>1</v>
      </c>
      <c r="AN100">
        <v>99</v>
      </c>
      <c r="AO100">
        <f t="shared" si="7"/>
        <v>99</v>
      </c>
      <c r="AP100">
        <f t="shared" si="5"/>
        <v>12</v>
      </c>
      <c r="AQ100">
        <f t="shared" si="6"/>
        <v>12</v>
      </c>
      <c r="AR100" s="26" t="s">
        <v>1355</v>
      </c>
      <c r="AS100" s="26" t="s">
        <v>1356</v>
      </c>
      <c r="AT100" t="s">
        <v>713</v>
      </c>
      <c r="AU100" t="s">
        <v>1</v>
      </c>
      <c r="AV100" t="s">
        <v>1</v>
      </c>
      <c r="AW100">
        <v>44.37</v>
      </c>
      <c r="AX100">
        <v>-73.430000000000007</v>
      </c>
      <c r="AY100" t="s">
        <v>737</v>
      </c>
      <c r="BA100" s="3">
        <v>2</v>
      </c>
      <c r="BB100" s="3"/>
      <c r="BC100" s="3"/>
      <c r="BD100" s="3"/>
      <c r="BE100" s="3"/>
      <c r="BF100">
        <v>1992</v>
      </c>
      <c r="BG100" s="24" t="s">
        <v>733</v>
      </c>
      <c r="BH100" s="24" t="s">
        <v>733</v>
      </c>
      <c r="BI100" s="24" t="s">
        <v>733</v>
      </c>
      <c r="BJ100" s="24" t="s">
        <v>732</v>
      </c>
      <c r="BK100" s="24" t="s">
        <v>733</v>
      </c>
      <c r="BL100" s="25" t="s">
        <v>733</v>
      </c>
      <c r="BM100" s="24" t="s">
        <v>733</v>
      </c>
      <c r="BN100" s="24" t="s">
        <v>732</v>
      </c>
      <c r="BO100" s="24" t="s">
        <v>733</v>
      </c>
      <c r="BP100" s="24" t="s">
        <v>733</v>
      </c>
      <c r="BQ100" s="24" t="s">
        <v>945</v>
      </c>
      <c r="BR100" s="24" t="s">
        <v>945</v>
      </c>
      <c r="BS100" s="25" t="s">
        <v>934</v>
      </c>
      <c r="BT100" s="24" t="s">
        <v>934</v>
      </c>
      <c r="BU100" s="24" t="s">
        <v>934</v>
      </c>
      <c r="BV100" s="24" t="s">
        <v>934</v>
      </c>
      <c r="BW100" s="24" t="s">
        <v>934</v>
      </c>
      <c r="BX100" s="24" t="s">
        <v>934</v>
      </c>
      <c r="BY100" s="25" t="s">
        <v>945</v>
      </c>
      <c r="BZ100" t="s">
        <v>5</v>
      </c>
      <c r="CB100" t="s">
        <v>1</v>
      </c>
      <c r="CC100" s="4">
        <f>8.9*84.5%*1000</f>
        <v>7520.5</v>
      </c>
      <c r="CD100" s="4"/>
      <c r="CE100" s="4"/>
      <c r="CF100" t="s">
        <v>793</v>
      </c>
      <c r="CG100">
        <v>100</v>
      </c>
      <c r="CH100" t="s">
        <v>805</v>
      </c>
      <c r="CI100" s="1">
        <v>1.6</v>
      </c>
      <c r="CJ100" s="10" t="s">
        <v>1442</v>
      </c>
      <c r="CK100" t="s">
        <v>807</v>
      </c>
      <c r="CL100" s="4">
        <f>38.8*35%*1000-7520.5</f>
        <v>6059.4999999999982</v>
      </c>
      <c r="CM100" t="s">
        <v>847</v>
      </c>
      <c r="CN100" s="4">
        <f>AVERAGE(126,126,141)</f>
        <v>131</v>
      </c>
      <c r="CO100" s="4"/>
      <c r="CP100" s="4" t="s">
        <v>1</v>
      </c>
      <c r="CQ100" s="4" t="s">
        <v>1</v>
      </c>
      <c r="CR100" s="4" t="s">
        <v>1</v>
      </c>
      <c r="CS100" s="4" t="s">
        <v>1</v>
      </c>
      <c r="CT100" s="4" t="s">
        <v>1</v>
      </c>
      <c r="CU100" s="4" t="s">
        <v>1</v>
      </c>
      <c r="CV100" t="s">
        <v>852</v>
      </c>
      <c r="CW100">
        <v>100</v>
      </c>
      <c r="CX100">
        <v>0</v>
      </c>
      <c r="CY100">
        <v>30</v>
      </c>
      <c r="CZ100" s="26" t="s">
        <v>1358</v>
      </c>
      <c r="DA100" t="s">
        <v>734</v>
      </c>
      <c r="DB100">
        <v>83.6</v>
      </c>
      <c r="DC100">
        <v>0</v>
      </c>
      <c r="DD100">
        <v>30</v>
      </c>
      <c r="DE100" s="26" t="s">
        <v>1358</v>
      </c>
      <c r="DF100" t="s">
        <v>735</v>
      </c>
      <c r="DG100">
        <v>7.9</v>
      </c>
      <c r="DH100">
        <v>0</v>
      </c>
      <c r="DI100">
        <v>30</v>
      </c>
      <c r="DJ100" s="26" t="s">
        <v>1358</v>
      </c>
      <c r="DK100" t="s">
        <v>736</v>
      </c>
      <c r="DL100">
        <v>8.5</v>
      </c>
      <c r="DM100">
        <v>0</v>
      </c>
      <c r="DN100">
        <v>30</v>
      </c>
      <c r="DO100" s="26" t="s">
        <v>1358</v>
      </c>
      <c r="DP100" t="s">
        <v>1</v>
      </c>
      <c r="DQ100" t="s">
        <v>1</v>
      </c>
      <c r="DR100" t="s">
        <v>1</v>
      </c>
      <c r="DS100" t="s">
        <v>1</v>
      </c>
      <c r="DT100" t="s">
        <v>1</v>
      </c>
      <c r="DU100" t="s">
        <v>1</v>
      </c>
      <c r="EA100" t="s">
        <v>1</v>
      </c>
      <c r="EB100" t="s">
        <v>1</v>
      </c>
      <c r="EC100" t="s">
        <v>1</v>
      </c>
      <c r="ED100" t="s">
        <v>1</v>
      </c>
      <c r="EE100" t="s">
        <v>1</v>
      </c>
      <c r="FZ100" t="s">
        <v>806</v>
      </c>
      <c r="GA100">
        <v>450.33333329999999</v>
      </c>
      <c r="GE100" s="26" t="s">
        <v>1358</v>
      </c>
      <c r="HA100" s="5" t="s">
        <v>1</v>
      </c>
      <c r="HB100" s="4" t="s">
        <v>1</v>
      </c>
      <c r="HC100" t="s">
        <v>1</v>
      </c>
      <c r="HD100" t="s">
        <v>1</v>
      </c>
      <c r="HE100" t="s">
        <v>1</v>
      </c>
      <c r="HF100" s="5" t="s">
        <v>1</v>
      </c>
      <c r="HG100" s="4" t="s">
        <v>1</v>
      </c>
      <c r="HH100" t="s">
        <v>1</v>
      </c>
      <c r="HI100" t="s">
        <v>1</v>
      </c>
      <c r="HJ100" t="s">
        <v>1</v>
      </c>
      <c r="HK100" t="s">
        <v>815</v>
      </c>
      <c r="HL100">
        <v>1.4780000000000002</v>
      </c>
      <c r="HM100">
        <v>0</v>
      </c>
      <c r="HN100">
        <v>30</v>
      </c>
      <c r="HO100" t="s">
        <v>1449</v>
      </c>
      <c r="HP100" s="26" t="s">
        <v>1358</v>
      </c>
      <c r="HZ100" t="s">
        <v>1295</v>
      </c>
      <c r="IA100">
        <v>22</v>
      </c>
      <c r="IB100" s="5" t="s">
        <v>820</v>
      </c>
      <c r="IC100" s="5"/>
      <c r="ID100" s="5"/>
      <c r="IE100" s="10" t="s">
        <v>1</v>
      </c>
      <c r="IF100" s="10" t="s">
        <v>1</v>
      </c>
      <c r="IG100" s="10"/>
      <c r="IH100" s="10"/>
      <c r="II100" s="10"/>
      <c r="IJ100" s="10"/>
      <c r="IK100" s="10"/>
      <c r="IL100" s="10"/>
      <c r="IM100" s="10"/>
      <c r="IN100" s="10"/>
      <c r="IO100" s="10"/>
      <c r="IP100" s="10"/>
      <c r="IQ100" s="10"/>
      <c r="IR100" s="10"/>
      <c r="IS100" t="s">
        <v>1</v>
      </c>
      <c r="IT100" t="s">
        <v>1</v>
      </c>
      <c r="IW100" t="s">
        <v>1</v>
      </c>
      <c r="IX100" t="s">
        <v>1</v>
      </c>
      <c r="IY100" t="s">
        <v>1</v>
      </c>
      <c r="IZ100" t="s">
        <v>1</v>
      </c>
      <c r="JA100" t="s">
        <v>1</v>
      </c>
      <c r="JB100" s="3" t="s">
        <v>1</v>
      </c>
      <c r="JC100" t="s">
        <v>1</v>
      </c>
      <c r="JD100" s="4" t="s">
        <v>1</v>
      </c>
      <c r="JE100" t="s">
        <v>810</v>
      </c>
      <c r="JF100">
        <v>100</v>
      </c>
      <c r="JR100" t="s">
        <v>1066</v>
      </c>
      <c r="JS100">
        <v>55.5</v>
      </c>
      <c r="JU100" t="s">
        <v>1</v>
      </c>
      <c r="JW100" t="s">
        <v>1</v>
      </c>
      <c r="JX100">
        <v>0</v>
      </c>
      <c r="JY100">
        <v>90</v>
      </c>
      <c r="JZ100" t="s">
        <v>796</v>
      </c>
      <c r="KA100" t="s">
        <v>98</v>
      </c>
      <c r="KB100" t="s">
        <v>738</v>
      </c>
      <c r="KC100" t="s">
        <v>1</v>
      </c>
      <c r="KD100" t="s">
        <v>1</v>
      </c>
      <c r="KE100" t="s">
        <v>1</v>
      </c>
      <c r="KF100" t="s">
        <v>1</v>
      </c>
      <c r="KG100" t="s">
        <v>1</v>
      </c>
      <c r="KH100" t="s">
        <v>1</v>
      </c>
      <c r="KI100" t="s">
        <v>1</v>
      </c>
      <c r="KJ100" t="s">
        <v>1</v>
      </c>
      <c r="KK100" t="s">
        <v>1</v>
      </c>
    </row>
    <row r="101" spans="1:297" x14ac:dyDescent="0.2">
      <c r="A101">
        <v>100</v>
      </c>
      <c r="B101" t="s">
        <v>705</v>
      </c>
      <c r="C101" t="s">
        <v>102</v>
      </c>
      <c r="D101" t="s">
        <v>95</v>
      </c>
      <c r="E101">
        <v>12</v>
      </c>
      <c r="F101" t="s">
        <v>96</v>
      </c>
      <c r="G101" t="s">
        <v>1</v>
      </c>
      <c r="H101" s="26" t="s">
        <v>1420</v>
      </c>
      <c r="I101" t="s">
        <v>1</v>
      </c>
      <c r="J101" t="s">
        <v>1</v>
      </c>
      <c r="K101" t="s">
        <v>1</v>
      </c>
      <c r="L101" t="s">
        <v>1</v>
      </c>
      <c r="M101" t="s">
        <v>1</v>
      </c>
      <c r="N101" t="s">
        <v>1</v>
      </c>
      <c r="O101" t="s">
        <v>1</v>
      </c>
      <c r="P101" t="s">
        <v>1</v>
      </c>
      <c r="Q101" t="s">
        <v>1</v>
      </c>
      <c r="R101" t="s">
        <v>1</v>
      </c>
      <c r="S101" t="s">
        <v>1</v>
      </c>
      <c r="T101" t="s">
        <v>1</v>
      </c>
      <c r="U101" t="s">
        <v>1</v>
      </c>
      <c r="V101" t="s">
        <v>1</v>
      </c>
      <c r="W101" t="s">
        <v>1</v>
      </c>
      <c r="X101" t="s">
        <v>1</v>
      </c>
      <c r="Y101" t="s">
        <v>1</v>
      </c>
      <c r="Z101" t="s">
        <v>1</v>
      </c>
      <c r="AA101" t="s">
        <v>1</v>
      </c>
      <c r="AB101" t="s">
        <v>1</v>
      </c>
      <c r="AC101" t="s">
        <v>1</v>
      </c>
      <c r="AD101" t="s">
        <v>1</v>
      </c>
      <c r="AE101" t="s">
        <v>1</v>
      </c>
      <c r="AF101" t="s">
        <v>1</v>
      </c>
      <c r="AG101" t="s">
        <v>1</v>
      </c>
      <c r="AH101" t="s">
        <v>1</v>
      </c>
      <c r="AI101" t="s">
        <v>1</v>
      </c>
      <c r="AJ101" t="s">
        <v>1</v>
      </c>
      <c r="AK101" t="s">
        <v>1</v>
      </c>
      <c r="AL101" t="s">
        <v>1</v>
      </c>
      <c r="AM101" t="s">
        <v>1</v>
      </c>
      <c r="AN101">
        <v>100</v>
      </c>
      <c r="AO101">
        <f t="shared" si="7"/>
        <v>100</v>
      </c>
      <c r="AP101">
        <f t="shared" si="5"/>
        <v>12</v>
      </c>
      <c r="AQ101">
        <f t="shared" si="6"/>
        <v>12</v>
      </c>
      <c r="AR101" s="26" t="s">
        <v>1355</v>
      </c>
      <c r="AS101" s="26" t="s">
        <v>1356</v>
      </c>
      <c r="AT101" t="s">
        <v>713</v>
      </c>
      <c r="AU101" t="s">
        <v>1</v>
      </c>
      <c r="AV101" t="s">
        <v>1</v>
      </c>
      <c r="AW101">
        <v>44.37</v>
      </c>
      <c r="AX101">
        <v>-73.430000000000007</v>
      </c>
      <c r="AY101" t="s">
        <v>737</v>
      </c>
      <c r="BA101" s="3">
        <v>3</v>
      </c>
      <c r="BB101" s="3"/>
      <c r="BC101" s="3"/>
      <c r="BD101" s="3"/>
      <c r="BE101" s="3"/>
      <c r="BF101">
        <v>1992</v>
      </c>
      <c r="BG101" s="24" t="s">
        <v>733</v>
      </c>
      <c r="BH101" s="24" t="s">
        <v>733</v>
      </c>
      <c r="BI101" s="24" t="s">
        <v>733</v>
      </c>
      <c r="BJ101" s="24" t="s">
        <v>732</v>
      </c>
      <c r="BK101" s="24" t="s">
        <v>733</v>
      </c>
      <c r="BL101" s="25" t="s">
        <v>733</v>
      </c>
      <c r="BM101" s="24" t="s">
        <v>733</v>
      </c>
      <c r="BN101" s="24" t="s">
        <v>732</v>
      </c>
      <c r="BO101" s="24" t="s">
        <v>733</v>
      </c>
      <c r="BP101" s="24" t="s">
        <v>733</v>
      </c>
      <c r="BQ101" s="24" t="s">
        <v>945</v>
      </c>
      <c r="BR101" s="24" t="s">
        <v>945</v>
      </c>
      <c r="BS101" s="25" t="s">
        <v>934</v>
      </c>
      <c r="BT101" s="24" t="s">
        <v>934</v>
      </c>
      <c r="BU101" s="24" t="s">
        <v>934</v>
      </c>
      <c r="BV101" s="24" t="s">
        <v>934</v>
      </c>
      <c r="BW101" s="24" t="s">
        <v>934</v>
      </c>
      <c r="BX101" s="24" t="s">
        <v>934</v>
      </c>
      <c r="BY101" s="25" t="s">
        <v>945</v>
      </c>
      <c r="BZ101" t="s">
        <v>5</v>
      </c>
      <c r="CB101" t="s">
        <v>1</v>
      </c>
      <c r="CC101" s="4">
        <f>11.2*84.5%*1000</f>
        <v>9463.9999999999982</v>
      </c>
      <c r="CD101" s="4"/>
      <c r="CE101" s="4"/>
      <c r="CF101" t="s">
        <v>793</v>
      </c>
      <c r="CG101">
        <v>100</v>
      </c>
      <c r="CH101" t="s">
        <v>805</v>
      </c>
      <c r="CI101" s="1">
        <v>1.6</v>
      </c>
      <c r="CJ101" s="10" t="s">
        <v>1442</v>
      </c>
      <c r="CK101" t="s">
        <v>807</v>
      </c>
      <c r="CL101" s="4">
        <f>50.2*35%*1000-9464</f>
        <v>8106</v>
      </c>
      <c r="CM101" t="s">
        <v>847</v>
      </c>
      <c r="CN101" s="4">
        <f>AVERAGE(179,176,197)</f>
        <v>184</v>
      </c>
      <c r="CO101" s="4"/>
      <c r="CP101" s="4" t="s">
        <v>1</v>
      </c>
      <c r="CQ101" s="4" t="s">
        <v>1</v>
      </c>
      <c r="CR101" s="4" t="s">
        <v>1</v>
      </c>
      <c r="CS101" s="4" t="s">
        <v>1</v>
      </c>
      <c r="CT101" s="4" t="s">
        <v>1</v>
      </c>
      <c r="CU101" s="4" t="s">
        <v>1</v>
      </c>
      <c r="CV101" t="s">
        <v>852</v>
      </c>
      <c r="CW101">
        <v>100</v>
      </c>
      <c r="CX101">
        <v>0</v>
      </c>
      <c r="CY101">
        <v>30</v>
      </c>
      <c r="CZ101" s="26" t="s">
        <v>1358</v>
      </c>
      <c r="DA101" t="s">
        <v>734</v>
      </c>
      <c r="DB101">
        <v>83.6</v>
      </c>
      <c r="DC101">
        <v>0</v>
      </c>
      <c r="DD101">
        <v>30</v>
      </c>
      <c r="DE101" s="26" t="s">
        <v>1358</v>
      </c>
      <c r="DF101" t="s">
        <v>735</v>
      </c>
      <c r="DG101">
        <v>7.9</v>
      </c>
      <c r="DH101">
        <v>0</v>
      </c>
      <c r="DI101">
        <v>30</v>
      </c>
      <c r="DJ101" s="26" t="s">
        <v>1358</v>
      </c>
      <c r="DK101" t="s">
        <v>736</v>
      </c>
      <c r="DL101">
        <v>8.5</v>
      </c>
      <c r="DM101">
        <v>0</v>
      </c>
      <c r="DN101">
        <v>30</v>
      </c>
      <c r="DO101" s="26" t="s">
        <v>1358</v>
      </c>
      <c r="DP101" t="s">
        <v>1</v>
      </c>
      <c r="DQ101" t="s">
        <v>1</v>
      </c>
      <c r="DR101" t="s">
        <v>1</v>
      </c>
      <c r="DS101" t="s">
        <v>1</v>
      </c>
      <c r="DT101" t="s">
        <v>1</v>
      </c>
      <c r="DU101" t="s">
        <v>1</v>
      </c>
      <c r="EA101" t="s">
        <v>1</v>
      </c>
      <c r="EB101" t="s">
        <v>1</v>
      </c>
      <c r="EC101" t="s">
        <v>1</v>
      </c>
      <c r="ED101" t="s">
        <v>1</v>
      </c>
      <c r="EE101" t="s">
        <v>1</v>
      </c>
      <c r="FZ101" t="s">
        <v>806</v>
      </c>
      <c r="GA101">
        <v>450.33333329999999</v>
      </c>
      <c r="GE101" s="26" t="s">
        <v>1358</v>
      </c>
      <c r="HA101" s="5" t="s">
        <v>1</v>
      </c>
      <c r="HB101" s="4" t="s">
        <v>1</v>
      </c>
      <c r="HC101" t="s">
        <v>1</v>
      </c>
      <c r="HD101" t="s">
        <v>1</v>
      </c>
      <c r="HE101" t="s">
        <v>1</v>
      </c>
      <c r="HF101" s="5" t="s">
        <v>1</v>
      </c>
      <c r="HG101" s="4" t="s">
        <v>1</v>
      </c>
      <c r="HH101" t="s">
        <v>1</v>
      </c>
      <c r="HI101" t="s">
        <v>1</v>
      </c>
      <c r="HJ101" t="s">
        <v>1</v>
      </c>
      <c r="HK101" t="s">
        <v>815</v>
      </c>
      <c r="HL101">
        <v>1.4780000000000002</v>
      </c>
      <c r="HM101">
        <v>0</v>
      </c>
      <c r="HN101">
        <v>30</v>
      </c>
      <c r="HO101" t="s">
        <v>1449</v>
      </c>
      <c r="HP101" s="26" t="s">
        <v>1358</v>
      </c>
      <c r="HZ101" t="s">
        <v>1295</v>
      </c>
      <c r="IA101">
        <v>100</v>
      </c>
      <c r="IB101" s="5" t="s">
        <v>820</v>
      </c>
      <c r="IC101" s="5"/>
      <c r="ID101" s="5"/>
      <c r="IE101" s="10" t="s">
        <v>1</v>
      </c>
      <c r="IF101" s="10" t="s">
        <v>1</v>
      </c>
      <c r="IG101" s="10"/>
      <c r="IH101" s="10"/>
      <c r="II101" s="10"/>
      <c r="IJ101" s="10"/>
      <c r="IK101" s="10"/>
      <c r="IL101" s="10"/>
      <c r="IM101" s="10"/>
      <c r="IN101" s="10"/>
      <c r="IO101" s="10"/>
      <c r="IP101" s="10"/>
      <c r="IQ101" s="10"/>
      <c r="IR101" s="10"/>
      <c r="IS101" t="s">
        <v>1</v>
      </c>
      <c r="IT101" t="s">
        <v>1</v>
      </c>
      <c r="IW101" t="s">
        <v>1</v>
      </c>
      <c r="IX101" t="s">
        <v>1</v>
      </c>
      <c r="IY101" t="s">
        <v>1</v>
      </c>
      <c r="IZ101" t="s">
        <v>1</v>
      </c>
      <c r="JA101" t="s">
        <v>1</v>
      </c>
      <c r="JB101" s="3" t="s">
        <v>1</v>
      </c>
      <c r="JC101" t="s">
        <v>1</v>
      </c>
      <c r="JD101" s="4" t="s">
        <v>1</v>
      </c>
      <c r="JE101" t="s">
        <v>810</v>
      </c>
      <c r="JF101">
        <v>100</v>
      </c>
      <c r="JR101" t="s">
        <v>1066</v>
      </c>
      <c r="JS101">
        <v>71.3</v>
      </c>
      <c r="JU101" t="s">
        <v>1</v>
      </c>
      <c r="JW101" t="s">
        <v>1</v>
      </c>
      <c r="JX101">
        <v>0</v>
      </c>
      <c r="JY101">
        <v>90</v>
      </c>
      <c r="JZ101" t="s">
        <v>796</v>
      </c>
      <c r="KA101" t="s">
        <v>98</v>
      </c>
      <c r="KB101" t="s">
        <v>738</v>
      </c>
      <c r="KC101" t="s">
        <v>1</v>
      </c>
      <c r="KD101" t="s">
        <v>1</v>
      </c>
      <c r="KE101" t="s">
        <v>1</v>
      </c>
      <c r="KF101" t="s">
        <v>1</v>
      </c>
      <c r="KG101" t="s">
        <v>1</v>
      </c>
      <c r="KH101" t="s">
        <v>1</v>
      </c>
      <c r="KI101" t="s">
        <v>1</v>
      </c>
      <c r="KJ101" t="s">
        <v>1</v>
      </c>
      <c r="KK101" t="s">
        <v>1</v>
      </c>
    </row>
    <row r="102" spans="1:297" x14ac:dyDescent="0.2">
      <c r="A102">
        <v>101</v>
      </c>
      <c r="B102" t="s">
        <v>705</v>
      </c>
      <c r="C102" t="s">
        <v>103</v>
      </c>
      <c r="D102" t="s">
        <v>95</v>
      </c>
      <c r="E102">
        <v>12</v>
      </c>
      <c r="F102" t="s">
        <v>96</v>
      </c>
      <c r="G102" t="s">
        <v>1</v>
      </c>
      <c r="H102" s="26" t="s">
        <v>1420</v>
      </c>
      <c r="I102" t="s">
        <v>1</v>
      </c>
      <c r="J102" t="s">
        <v>1</v>
      </c>
      <c r="K102" t="s">
        <v>1</v>
      </c>
      <c r="L102" t="s">
        <v>1</v>
      </c>
      <c r="M102" t="s">
        <v>1</v>
      </c>
      <c r="N102" t="s">
        <v>1</v>
      </c>
      <c r="O102" t="s">
        <v>1</v>
      </c>
      <c r="P102" t="s">
        <v>1</v>
      </c>
      <c r="Q102" t="s">
        <v>1</v>
      </c>
      <c r="R102" t="s">
        <v>1</v>
      </c>
      <c r="S102" t="s">
        <v>1</v>
      </c>
      <c r="T102" t="s">
        <v>1</v>
      </c>
      <c r="U102" t="s">
        <v>1</v>
      </c>
      <c r="V102" t="s">
        <v>1</v>
      </c>
      <c r="W102" t="s">
        <v>1</v>
      </c>
      <c r="X102" t="s">
        <v>1</v>
      </c>
      <c r="Y102" t="s">
        <v>1</v>
      </c>
      <c r="Z102" t="s">
        <v>1</v>
      </c>
      <c r="AA102" t="s">
        <v>1</v>
      </c>
      <c r="AB102" t="s">
        <v>1</v>
      </c>
      <c r="AC102" t="s">
        <v>1</v>
      </c>
      <c r="AD102" t="s">
        <v>1</v>
      </c>
      <c r="AE102" t="s">
        <v>1</v>
      </c>
      <c r="AF102" t="s">
        <v>1</v>
      </c>
      <c r="AG102" t="s">
        <v>1</v>
      </c>
      <c r="AH102" t="s">
        <v>1</v>
      </c>
      <c r="AI102" t="s">
        <v>1</v>
      </c>
      <c r="AJ102" t="s">
        <v>1</v>
      </c>
      <c r="AK102" t="s">
        <v>1</v>
      </c>
      <c r="AL102" t="s">
        <v>1</v>
      </c>
      <c r="AM102" t="s">
        <v>1</v>
      </c>
      <c r="AN102">
        <v>101</v>
      </c>
      <c r="AO102">
        <f t="shared" si="7"/>
        <v>101</v>
      </c>
      <c r="AP102">
        <f t="shared" si="5"/>
        <v>12</v>
      </c>
      <c r="AQ102">
        <f t="shared" si="6"/>
        <v>12</v>
      </c>
      <c r="AR102" s="26" t="s">
        <v>1355</v>
      </c>
      <c r="AS102" s="26" t="s">
        <v>1356</v>
      </c>
      <c r="AT102" t="s">
        <v>713</v>
      </c>
      <c r="AU102" t="s">
        <v>1</v>
      </c>
      <c r="AV102" t="s">
        <v>1</v>
      </c>
      <c r="AW102">
        <v>44.37</v>
      </c>
      <c r="AX102">
        <v>-73.430000000000007</v>
      </c>
      <c r="AY102" t="s">
        <v>737</v>
      </c>
      <c r="BA102" s="3">
        <v>3</v>
      </c>
      <c r="BB102" s="3"/>
      <c r="BC102" s="3"/>
      <c r="BD102" s="3"/>
      <c r="BE102" s="3"/>
      <c r="BF102">
        <v>1992</v>
      </c>
      <c r="BG102" s="24" t="s">
        <v>733</v>
      </c>
      <c r="BH102" s="24" t="s">
        <v>733</v>
      </c>
      <c r="BI102" s="24" t="s">
        <v>733</v>
      </c>
      <c r="BJ102" s="24" t="s">
        <v>732</v>
      </c>
      <c r="BK102" s="24" t="s">
        <v>733</v>
      </c>
      <c r="BL102" s="25" t="s">
        <v>733</v>
      </c>
      <c r="BM102" s="24" t="s">
        <v>733</v>
      </c>
      <c r="BN102" s="24" t="s">
        <v>732</v>
      </c>
      <c r="BO102" s="24" t="s">
        <v>733</v>
      </c>
      <c r="BP102" s="24" t="s">
        <v>733</v>
      </c>
      <c r="BQ102" s="24" t="s">
        <v>945</v>
      </c>
      <c r="BR102" s="24" t="s">
        <v>945</v>
      </c>
      <c r="BS102" s="25" t="s">
        <v>934</v>
      </c>
      <c r="BT102" s="24" t="s">
        <v>934</v>
      </c>
      <c r="BU102" s="24" t="s">
        <v>934</v>
      </c>
      <c r="BV102" s="24" t="s">
        <v>934</v>
      </c>
      <c r="BW102" s="24" t="s">
        <v>934</v>
      </c>
      <c r="BX102" s="24" t="s">
        <v>934</v>
      </c>
      <c r="BY102" s="25" t="s">
        <v>945</v>
      </c>
      <c r="BZ102" t="s">
        <v>5</v>
      </c>
      <c r="CB102" t="s">
        <v>1</v>
      </c>
      <c r="CC102" s="4">
        <f>11.2*84.5%*1000</f>
        <v>9463.9999999999982</v>
      </c>
      <c r="CD102" s="4"/>
      <c r="CE102" s="4"/>
      <c r="CF102" t="s">
        <v>793</v>
      </c>
      <c r="CG102">
        <v>100</v>
      </c>
      <c r="CH102" t="s">
        <v>805</v>
      </c>
      <c r="CI102" s="1">
        <v>1.6</v>
      </c>
      <c r="CJ102" s="10" t="s">
        <v>1442</v>
      </c>
      <c r="CK102" t="s">
        <v>807</v>
      </c>
      <c r="CL102" s="4">
        <f>49.5*35%*1000-9464</f>
        <v>7861</v>
      </c>
      <c r="CM102" t="s">
        <v>847</v>
      </c>
      <c r="CN102" s="4">
        <f>AVERAGE(166,166,186)</f>
        <v>172.66666666666666</v>
      </c>
      <c r="CO102" s="4"/>
      <c r="CP102" s="4" t="s">
        <v>1</v>
      </c>
      <c r="CQ102" s="4" t="s">
        <v>1</v>
      </c>
      <c r="CR102" s="4" t="s">
        <v>1</v>
      </c>
      <c r="CS102" s="4" t="s">
        <v>1</v>
      </c>
      <c r="CT102" s="4" t="s">
        <v>1</v>
      </c>
      <c r="CU102" s="4" t="s">
        <v>1</v>
      </c>
      <c r="CV102" t="s">
        <v>852</v>
      </c>
      <c r="CW102">
        <v>100</v>
      </c>
      <c r="CX102">
        <v>0</v>
      </c>
      <c r="CY102">
        <v>30</v>
      </c>
      <c r="CZ102" s="26" t="s">
        <v>1358</v>
      </c>
      <c r="DA102" t="s">
        <v>734</v>
      </c>
      <c r="DB102">
        <v>83.6</v>
      </c>
      <c r="DC102">
        <v>0</v>
      </c>
      <c r="DD102">
        <v>30</v>
      </c>
      <c r="DE102" s="26" t="s">
        <v>1358</v>
      </c>
      <c r="DF102" t="s">
        <v>735</v>
      </c>
      <c r="DG102">
        <v>7.9</v>
      </c>
      <c r="DH102">
        <v>0</v>
      </c>
      <c r="DI102">
        <v>30</v>
      </c>
      <c r="DJ102" s="26" t="s">
        <v>1358</v>
      </c>
      <c r="DK102" t="s">
        <v>736</v>
      </c>
      <c r="DL102">
        <v>8.5</v>
      </c>
      <c r="DM102">
        <v>0</v>
      </c>
      <c r="DN102">
        <v>30</v>
      </c>
      <c r="DO102" s="26" t="s">
        <v>1358</v>
      </c>
      <c r="DP102" t="s">
        <v>1</v>
      </c>
      <c r="DQ102" t="s">
        <v>1</v>
      </c>
      <c r="DR102" t="s">
        <v>1</v>
      </c>
      <c r="DS102" t="s">
        <v>1</v>
      </c>
      <c r="DT102" t="s">
        <v>1</v>
      </c>
      <c r="DU102" t="s">
        <v>1</v>
      </c>
      <c r="EA102" t="s">
        <v>1</v>
      </c>
      <c r="EB102" t="s">
        <v>1</v>
      </c>
      <c r="EC102" t="s">
        <v>1</v>
      </c>
      <c r="ED102" t="s">
        <v>1</v>
      </c>
      <c r="EE102" t="s">
        <v>1</v>
      </c>
      <c r="FZ102" t="s">
        <v>806</v>
      </c>
      <c r="GA102">
        <v>450.33333329999999</v>
      </c>
      <c r="GE102" s="26" t="s">
        <v>1358</v>
      </c>
      <c r="HA102" s="5" t="s">
        <v>1</v>
      </c>
      <c r="HB102" s="4" t="s">
        <v>1</v>
      </c>
      <c r="HC102" t="s">
        <v>1</v>
      </c>
      <c r="HD102" t="s">
        <v>1</v>
      </c>
      <c r="HE102" t="s">
        <v>1</v>
      </c>
      <c r="HF102" s="5" t="s">
        <v>1</v>
      </c>
      <c r="HG102" s="4" t="s">
        <v>1</v>
      </c>
      <c r="HH102" t="s">
        <v>1</v>
      </c>
      <c r="HI102" t="s">
        <v>1</v>
      </c>
      <c r="HJ102" t="s">
        <v>1</v>
      </c>
      <c r="HK102" t="s">
        <v>815</v>
      </c>
      <c r="HL102">
        <v>1.4780000000000002</v>
      </c>
      <c r="HM102">
        <v>0</v>
      </c>
      <c r="HN102">
        <v>30</v>
      </c>
      <c r="HO102" t="s">
        <v>1449</v>
      </c>
      <c r="HP102" s="26" t="s">
        <v>1358</v>
      </c>
      <c r="HZ102" t="s">
        <v>1295</v>
      </c>
      <c r="IA102">
        <v>134</v>
      </c>
      <c r="IB102" s="5" t="s">
        <v>820</v>
      </c>
      <c r="IC102" s="5"/>
      <c r="ID102" s="5"/>
      <c r="IE102" s="10" t="s">
        <v>1</v>
      </c>
      <c r="IF102" s="10" t="s">
        <v>1</v>
      </c>
      <c r="IG102" s="10"/>
      <c r="IH102" s="10"/>
      <c r="II102" s="10"/>
      <c r="IJ102" s="10"/>
      <c r="IK102" s="10"/>
      <c r="IL102" s="10"/>
      <c r="IM102" s="10"/>
      <c r="IN102" s="10"/>
      <c r="IO102" s="10"/>
      <c r="IP102" s="10"/>
      <c r="IQ102" s="10"/>
      <c r="IR102" s="10"/>
      <c r="IS102" t="s">
        <v>1</v>
      </c>
      <c r="IT102" t="s">
        <v>1</v>
      </c>
      <c r="IW102" t="s">
        <v>1</v>
      </c>
      <c r="IX102" t="s">
        <v>1</v>
      </c>
      <c r="IY102" t="s">
        <v>1</v>
      </c>
      <c r="IZ102" t="s">
        <v>1</v>
      </c>
      <c r="JA102" t="s">
        <v>1</v>
      </c>
      <c r="JB102" s="3" t="s">
        <v>1</v>
      </c>
      <c r="JC102" t="s">
        <v>1</v>
      </c>
      <c r="JD102" s="4" t="s">
        <v>1</v>
      </c>
      <c r="JE102" t="s">
        <v>810</v>
      </c>
      <c r="JF102">
        <v>100</v>
      </c>
      <c r="JR102" t="s">
        <v>1066</v>
      </c>
      <c r="JS102">
        <v>107.1</v>
      </c>
      <c r="JU102" t="s">
        <v>1</v>
      </c>
      <c r="JW102" t="s">
        <v>1</v>
      </c>
      <c r="JX102">
        <v>0</v>
      </c>
      <c r="JY102">
        <v>90</v>
      </c>
      <c r="JZ102" t="s">
        <v>796</v>
      </c>
      <c r="KA102" t="s">
        <v>98</v>
      </c>
      <c r="KB102" t="s">
        <v>738</v>
      </c>
      <c r="KC102" t="s">
        <v>1</v>
      </c>
      <c r="KD102" t="s">
        <v>1</v>
      </c>
      <c r="KE102" t="s">
        <v>1</v>
      </c>
      <c r="KF102" t="s">
        <v>1</v>
      </c>
      <c r="KG102" t="s">
        <v>1</v>
      </c>
      <c r="KH102" t="s">
        <v>1</v>
      </c>
      <c r="KI102" t="s">
        <v>1</v>
      </c>
      <c r="KJ102" t="s">
        <v>1</v>
      </c>
      <c r="KK102" t="s">
        <v>1</v>
      </c>
    </row>
    <row r="103" spans="1:297" x14ac:dyDescent="0.2">
      <c r="A103">
        <v>102</v>
      </c>
      <c r="B103" t="s">
        <v>705</v>
      </c>
      <c r="C103" t="s">
        <v>105</v>
      </c>
      <c r="D103" t="s">
        <v>689</v>
      </c>
      <c r="E103">
        <v>13</v>
      </c>
      <c r="F103" t="s">
        <v>104</v>
      </c>
      <c r="G103" t="s">
        <v>1</v>
      </c>
      <c r="H103" s="26" t="s">
        <v>1420</v>
      </c>
      <c r="I103" t="s">
        <v>1</v>
      </c>
      <c r="J103" t="s">
        <v>1</v>
      </c>
      <c r="K103" t="s">
        <v>1</v>
      </c>
      <c r="L103" t="s">
        <v>1</v>
      </c>
      <c r="M103" t="s">
        <v>1</v>
      </c>
      <c r="N103" t="s">
        <v>1</v>
      </c>
      <c r="O103" t="s">
        <v>1</v>
      </c>
      <c r="P103" t="s">
        <v>1</v>
      </c>
      <c r="Q103" t="s">
        <v>1</v>
      </c>
      <c r="R103" t="s">
        <v>1</v>
      </c>
      <c r="S103" t="s">
        <v>1</v>
      </c>
      <c r="T103" t="s">
        <v>1</v>
      </c>
      <c r="U103" t="s">
        <v>1</v>
      </c>
      <c r="V103" t="s">
        <v>1</v>
      </c>
      <c r="W103" t="s">
        <v>1</v>
      </c>
      <c r="X103" t="s">
        <v>1</v>
      </c>
      <c r="Y103" t="s">
        <v>1</v>
      </c>
      <c r="Z103" t="s">
        <v>1</v>
      </c>
      <c r="AA103" t="s">
        <v>1</v>
      </c>
      <c r="AB103" t="s">
        <v>1</v>
      </c>
      <c r="AC103" t="s">
        <v>1</v>
      </c>
      <c r="AD103" t="s">
        <v>1</v>
      </c>
      <c r="AE103" t="s">
        <v>1</v>
      </c>
      <c r="AF103" t="s">
        <v>1</v>
      </c>
      <c r="AG103" t="s">
        <v>1</v>
      </c>
      <c r="AH103" t="s">
        <v>1</v>
      </c>
      <c r="AI103" t="s">
        <v>1</v>
      </c>
      <c r="AJ103" t="s">
        <v>1</v>
      </c>
      <c r="AK103" t="s">
        <v>1</v>
      </c>
      <c r="AL103" t="s">
        <v>1</v>
      </c>
      <c r="AM103" t="s">
        <v>1</v>
      </c>
      <c r="AN103">
        <v>102</v>
      </c>
      <c r="AO103">
        <f t="shared" si="7"/>
        <v>102</v>
      </c>
      <c r="AP103">
        <f t="shared" si="5"/>
        <v>13</v>
      </c>
      <c r="AQ103">
        <f t="shared" si="6"/>
        <v>13</v>
      </c>
      <c r="AR103" s="26" t="s">
        <v>1355</v>
      </c>
      <c r="AS103" s="26" t="s">
        <v>1356</v>
      </c>
      <c r="AT103" t="s">
        <v>714</v>
      </c>
      <c r="AU103" t="s">
        <v>1</v>
      </c>
      <c r="AV103" t="s">
        <v>1</v>
      </c>
      <c r="AW103">
        <v>56.48</v>
      </c>
      <c r="AX103">
        <v>13</v>
      </c>
      <c r="AY103" t="s">
        <v>737</v>
      </c>
      <c r="BA103" s="3">
        <v>3</v>
      </c>
      <c r="BB103" s="3"/>
      <c r="BC103" s="3"/>
      <c r="BD103" s="3"/>
      <c r="BE103" s="3"/>
      <c r="BF103">
        <v>2001</v>
      </c>
      <c r="BG103" s="24" t="s">
        <v>733</v>
      </c>
      <c r="BH103" s="24" t="s">
        <v>733</v>
      </c>
      <c r="BI103" s="24" t="s">
        <v>733</v>
      </c>
      <c r="BJ103" s="24" t="s">
        <v>732</v>
      </c>
      <c r="BK103" s="24" t="s">
        <v>733</v>
      </c>
      <c r="BL103" s="25" t="s">
        <v>733</v>
      </c>
      <c r="BM103" s="24" t="s">
        <v>733</v>
      </c>
      <c r="BN103" s="24" t="s">
        <v>732</v>
      </c>
      <c r="BO103" s="24" t="s">
        <v>733</v>
      </c>
      <c r="BP103" s="24" t="s">
        <v>733</v>
      </c>
      <c r="BQ103" s="24" t="s">
        <v>945</v>
      </c>
      <c r="BR103" s="24" t="s">
        <v>945</v>
      </c>
      <c r="BS103" s="25" t="s">
        <v>934</v>
      </c>
      <c r="BT103" s="24" t="s">
        <v>934</v>
      </c>
      <c r="BU103" s="24" t="s">
        <v>934</v>
      </c>
      <c r="BV103" s="24" t="s">
        <v>934</v>
      </c>
      <c r="BW103" s="24" t="s">
        <v>934</v>
      </c>
      <c r="BX103" s="24" t="s">
        <v>934</v>
      </c>
      <c r="BY103" s="25" t="s">
        <v>945</v>
      </c>
      <c r="BZ103" t="s">
        <v>1398</v>
      </c>
      <c r="CB103" t="s">
        <v>1</v>
      </c>
      <c r="CC103" s="4">
        <f>AVERAGE(1990,1230)</f>
        <v>1610</v>
      </c>
      <c r="CD103" s="4"/>
      <c r="CE103" s="4"/>
      <c r="CF103" t="s">
        <v>793</v>
      </c>
      <c r="CG103">
        <v>100</v>
      </c>
      <c r="CH103" t="s">
        <v>805</v>
      </c>
      <c r="CI103" s="1">
        <v>1</v>
      </c>
      <c r="CJ103" s="10" t="s">
        <v>1442</v>
      </c>
      <c r="CK103" t="s">
        <v>807</v>
      </c>
      <c r="CL103" s="4">
        <f>AVERAGE(2260,1070)</f>
        <v>1665</v>
      </c>
      <c r="CM103" t="s">
        <v>847</v>
      </c>
      <c r="CN103" s="4">
        <f>AVERAGE(38,34)</f>
        <v>36</v>
      </c>
      <c r="CO103" s="4"/>
      <c r="CP103" s="4" t="s">
        <v>1</v>
      </c>
      <c r="CQ103" s="4" t="s">
        <v>1</v>
      </c>
      <c r="CR103" s="4" t="s">
        <v>1</v>
      </c>
      <c r="CS103" s="4" t="s">
        <v>1</v>
      </c>
      <c r="CT103" s="4" t="s">
        <v>1</v>
      </c>
      <c r="CU103" s="4" t="s">
        <v>1</v>
      </c>
      <c r="CV103" t="s">
        <v>855</v>
      </c>
      <c r="CW103">
        <v>100</v>
      </c>
      <c r="CX103">
        <v>0</v>
      </c>
      <c r="CY103">
        <v>30</v>
      </c>
      <c r="CZ103" s="26" t="s">
        <v>1358</v>
      </c>
      <c r="DA103" t="s">
        <v>734</v>
      </c>
      <c r="DB103">
        <v>79.400000000000006</v>
      </c>
      <c r="DC103">
        <v>0</v>
      </c>
      <c r="DD103">
        <v>30</v>
      </c>
      <c r="DE103" s="26" t="s">
        <v>1358</v>
      </c>
      <c r="DF103" t="s">
        <v>735</v>
      </c>
      <c r="DG103">
        <v>10.199999999999999</v>
      </c>
      <c r="DH103">
        <v>0</v>
      </c>
      <c r="DI103">
        <v>30</v>
      </c>
      <c r="DJ103" s="26" t="s">
        <v>1358</v>
      </c>
      <c r="DK103" t="s">
        <v>736</v>
      </c>
      <c r="DL103">
        <v>10.4</v>
      </c>
      <c r="DM103">
        <v>0</v>
      </c>
      <c r="DN103">
        <v>30</v>
      </c>
      <c r="DO103" s="26" t="s">
        <v>1358</v>
      </c>
      <c r="DP103" t="s">
        <v>6</v>
      </c>
      <c r="DQ103" t="s">
        <v>814</v>
      </c>
      <c r="DR103">
        <v>6.2</v>
      </c>
      <c r="DS103">
        <v>0</v>
      </c>
      <c r="DT103">
        <v>30</v>
      </c>
      <c r="DU103" s="26" t="s">
        <v>1358</v>
      </c>
      <c r="EA103" t="s">
        <v>982</v>
      </c>
      <c r="EB103">
        <v>27</v>
      </c>
      <c r="EC103">
        <v>0</v>
      </c>
      <c r="ED103">
        <v>30</v>
      </c>
      <c r="EE103" s="26" t="s">
        <v>1358</v>
      </c>
      <c r="EF103" s="26"/>
      <c r="FZ103" t="s">
        <v>806</v>
      </c>
      <c r="GA103">
        <v>597</v>
      </c>
      <c r="GE103" s="26" t="s">
        <v>1358</v>
      </c>
      <c r="HA103" s="5" t="s">
        <v>1069</v>
      </c>
      <c r="HB103" s="4">
        <v>14.3</v>
      </c>
      <c r="HC103">
        <v>0</v>
      </c>
      <c r="HD103">
        <v>30</v>
      </c>
      <c r="HE103" s="26" t="s">
        <v>1358</v>
      </c>
      <c r="HF103" s="5" t="s">
        <v>1063</v>
      </c>
      <c r="HG103" s="4">
        <v>1.9285714285714286</v>
      </c>
      <c r="HH103">
        <v>0</v>
      </c>
      <c r="HI103">
        <v>30</v>
      </c>
      <c r="HJ103" s="26" t="s">
        <v>1358</v>
      </c>
      <c r="HK103" t="s">
        <v>815</v>
      </c>
      <c r="HL103">
        <v>1.45</v>
      </c>
      <c r="HM103">
        <v>0</v>
      </c>
      <c r="HN103">
        <v>30</v>
      </c>
      <c r="HO103" t="s">
        <v>1</v>
      </c>
      <c r="HP103" s="26" t="s">
        <v>1358</v>
      </c>
      <c r="HZ103" t="s">
        <v>1</v>
      </c>
      <c r="IA103" t="s">
        <v>1</v>
      </c>
      <c r="IB103" s="10" t="s">
        <v>1</v>
      </c>
      <c r="IC103" s="10"/>
      <c r="ID103" s="10"/>
      <c r="IE103" s="10" t="s">
        <v>1</v>
      </c>
      <c r="IF103" s="10" t="s">
        <v>1</v>
      </c>
      <c r="IG103" s="10"/>
      <c r="IH103" s="10"/>
      <c r="II103" s="10"/>
      <c r="IJ103" s="10"/>
      <c r="IK103" s="10"/>
      <c r="IL103" s="10"/>
      <c r="IM103" s="10"/>
      <c r="IN103" s="10"/>
      <c r="IO103" s="10"/>
      <c r="IP103" s="10"/>
      <c r="IQ103" s="10"/>
      <c r="IR103" s="10"/>
      <c r="IS103" t="s">
        <v>1</v>
      </c>
      <c r="IT103" t="s">
        <v>1</v>
      </c>
      <c r="IW103" t="s">
        <v>1</v>
      </c>
      <c r="IX103" t="s">
        <v>1</v>
      </c>
      <c r="IY103" t="s">
        <v>808</v>
      </c>
      <c r="IZ103">
        <v>750</v>
      </c>
      <c r="JA103" t="s">
        <v>1</v>
      </c>
      <c r="JB103" s="3" t="s">
        <v>1</v>
      </c>
      <c r="JC103" t="s">
        <v>1</v>
      </c>
      <c r="JD103" s="4" t="s">
        <v>1</v>
      </c>
      <c r="JE103" t="s">
        <v>810</v>
      </c>
      <c r="JF103">
        <v>100</v>
      </c>
      <c r="JR103" t="s">
        <v>1066</v>
      </c>
      <c r="JS103">
        <v>81.900000000000006</v>
      </c>
      <c r="JU103" t="s">
        <v>1</v>
      </c>
      <c r="JW103" t="s">
        <v>1</v>
      </c>
      <c r="JX103">
        <v>0</v>
      </c>
      <c r="JY103">
        <v>107.99999999999999</v>
      </c>
      <c r="JZ103" t="s">
        <v>796</v>
      </c>
      <c r="KA103" t="s">
        <v>106</v>
      </c>
      <c r="KB103" t="s">
        <v>738</v>
      </c>
      <c r="KC103" t="s">
        <v>1</v>
      </c>
      <c r="KD103" t="s">
        <v>1</v>
      </c>
      <c r="KE103" t="s">
        <v>1</v>
      </c>
      <c r="KF103" t="s">
        <v>1</v>
      </c>
      <c r="KG103" t="s">
        <v>1</v>
      </c>
      <c r="KH103" t="s">
        <v>1</v>
      </c>
      <c r="KI103" t="s">
        <v>1</v>
      </c>
      <c r="KJ103" t="s">
        <v>1</v>
      </c>
      <c r="KK103" t="s">
        <v>1</v>
      </c>
    </row>
    <row r="104" spans="1:297" x14ac:dyDescent="0.2">
      <c r="A104">
        <v>103</v>
      </c>
      <c r="B104" t="s">
        <v>705</v>
      </c>
      <c r="C104" t="s">
        <v>107</v>
      </c>
      <c r="D104" t="s">
        <v>689</v>
      </c>
      <c r="E104">
        <v>13</v>
      </c>
      <c r="F104" t="s">
        <v>104</v>
      </c>
      <c r="G104" t="s">
        <v>1</v>
      </c>
      <c r="H104" s="26" t="s">
        <v>1420</v>
      </c>
      <c r="I104" t="s">
        <v>1</v>
      </c>
      <c r="J104" t="s">
        <v>1</v>
      </c>
      <c r="K104" t="s">
        <v>1</v>
      </c>
      <c r="L104" t="s">
        <v>1</v>
      </c>
      <c r="M104" t="s">
        <v>1</v>
      </c>
      <c r="N104" t="s">
        <v>1</v>
      </c>
      <c r="O104" t="s">
        <v>1</v>
      </c>
      <c r="P104" t="s">
        <v>1</v>
      </c>
      <c r="Q104" t="s">
        <v>1</v>
      </c>
      <c r="R104" t="s">
        <v>1</v>
      </c>
      <c r="S104" t="s">
        <v>1</v>
      </c>
      <c r="T104" t="s">
        <v>1</v>
      </c>
      <c r="U104" t="s">
        <v>1</v>
      </c>
      <c r="V104" t="s">
        <v>1</v>
      </c>
      <c r="W104" t="s">
        <v>1</v>
      </c>
      <c r="X104" t="s">
        <v>1</v>
      </c>
      <c r="Y104" t="s">
        <v>1</v>
      </c>
      <c r="Z104" t="s">
        <v>1</v>
      </c>
      <c r="AA104" t="s">
        <v>1</v>
      </c>
      <c r="AB104" t="s">
        <v>1</v>
      </c>
      <c r="AC104" t="s">
        <v>1</v>
      </c>
      <c r="AD104" t="s">
        <v>1</v>
      </c>
      <c r="AE104" t="s">
        <v>1</v>
      </c>
      <c r="AF104" t="s">
        <v>1</v>
      </c>
      <c r="AG104" t="s">
        <v>1</v>
      </c>
      <c r="AH104" t="s">
        <v>1</v>
      </c>
      <c r="AI104" t="s">
        <v>1</v>
      </c>
      <c r="AJ104" t="s">
        <v>1</v>
      </c>
      <c r="AK104" t="s">
        <v>1</v>
      </c>
      <c r="AL104" t="s">
        <v>1</v>
      </c>
      <c r="AM104" t="s">
        <v>1</v>
      </c>
      <c r="AN104">
        <v>103</v>
      </c>
      <c r="AO104">
        <f t="shared" si="7"/>
        <v>103</v>
      </c>
      <c r="AP104">
        <f t="shared" si="5"/>
        <v>13</v>
      </c>
      <c r="AQ104">
        <f t="shared" si="6"/>
        <v>13</v>
      </c>
      <c r="AR104" s="26" t="s">
        <v>1355</v>
      </c>
      <c r="AS104" s="26" t="s">
        <v>1356</v>
      </c>
      <c r="AT104" t="s">
        <v>714</v>
      </c>
      <c r="AU104" t="s">
        <v>1</v>
      </c>
      <c r="AV104" t="s">
        <v>1</v>
      </c>
      <c r="AW104">
        <v>56.48</v>
      </c>
      <c r="AX104">
        <v>13</v>
      </c>
      <c r="AY104" t="s">
        <v>737</v>
      </c>
      <c r="BA104" s="3">
        <v>3</v>
      </c>
      <c r="BB104" s="3"/>
      <c r="BC104" s="3"/>
      <c r="BD104" s="3"/>
      <c r="BE104" s="3"/>
      <c r="BF104">
        <v>2001</v>
      </c>
      <c r="BG104" s="24" t="s">
        <v>733</v>
      </c>
      <c r="BH104" s="24" t="s">
        <v>733</v>
      </c>
      <c r="BI104" s="24" t="s">
        <v>733</v>
      </c>
      <c r="BJ104" s="24" t="s">
        <v>732</v>
      </c>
      <c r="BK104" s="24" t="s">
        <v>733</v>
      </c>
      <c r="BL104" s="25" t="s">
        <v>733</v>
      </c>
      <c r="BM104" s="24" t="s">
        <v>733</v>
      </c>
      <c r="BN104" s="24" t="s">
        <v>732</v>
      </c>
      <c r="BO104" s="24" t="s">
        <v>733</v>
      </c>
      <c r="BP104" s="24" t="s">
        <v>733</v>
      </c>
      <c r="BQ104" s="24" t="s">
        <v>945</v>
      </c>
      <c r="BR104" s="24" t="s">
        <v>945</v>
      </c>
      <c r="BS104" s="25" t="s">
        <v>934</v>
      </c>
      <c r="BT104" s="24" t="s">
        <v>934</v>
      </c>
      <c r="BU104" s="24" t="s">
        <v>934</v>
      </c>
      <c r="BV104" s="24" t="s">
        <v>934</v>
      </c>
      <c r="BW104" s="24" t="s">
        <v>934</v>
      </c>
      <c r="BX104" s="24" t="s">
        <v>934</v>
      </c>
      <c r="BY104" s="25" t="s">
        <v>945</v>
      </c>
      <c r="BZ104" t="s">
        <v>1398</v>
      </c>
      <c r="CB104" t="s">
        <v>1</v>
      </c>
      <c r="CC104" s="4">
        <f>AVERAGE(3310,1670)</f>
        <v>2490</v>
      </c>
      <c r="CD104" s="4"/>
      <c r="CE104" s="4"/>
      <c r="CF104" t="s">
        <v>793</v>
      </c>
      <c r="CG104">
        <v>100</v>
      </c>
      <c r="CH104" t="s">
        <v>805</v>
      </c>
      <c r="CI104" s="1">
        <v>1</v>
      </c>
      <c r="CJ104" s="10" t="s">
        <v>1442</v>
      </c>
      <c r="CK104" t="s">
        <v>807</v>
      </c>
      <c r="CL104" s="4">
        <f>AVERAGE(4410,3480)</f>
        <v>3945</v>
      </c>
      <c r="CM104" t="s">
        <v>847</v>
      </c>
      <c r="CN104" s="4">
        <f>AVERAGE(71,97)</f>
        <v>84</v>
      </c>
      <c r="CO104" s="4"/>
      <c r="CP104" s="4" t="s">
        <v>1</v>
      </c>
      <c r="CQ104" s="4" t="s">
        <v>1</v>
      </c>
      <c r="CR104" s="4" t="s">
        <v>1</v>
      </c>
      <c r="CS104" s="4" t="s">
        <v>1</v>
      </c>
      <c r="CT104" s="4" t="s">
        <v>1</v>
      </c>
      <c r="CU104" s="4" t="s">
        <v>1</v>
      </c>
      <c r="CV104" t="s">
        <v>855</v>
      </c>
      <c r="CW104">
        <v>100</v>
      </c>
      <c r="CX104">
        <v>0</v>
      </c>
      <c r="CY104">
        <v>30</v>
      </c>
      <c r="CZ104" s="26" t="s">
        <v>1358</v>
      </c>
      <c r="DA104" t="s">
        <v>734</v>
      </c>
      <c r="DB104">
        <v>79.400000000000006</v>
      </c>
      <c r="DC104">
        <v>0</v>
      </c>
      <c r="DD104">
        <v>30</v>
      </c>
      <c r="DE104" s="26" t="s">
        <v>1358</v>
      </c>
      <c r="DF104" t="s">
        <v>735</v>
      </c>
      <c r="DG104">
        <v>10.199999999999999</v>
      </c>
      <c r="DH104">
        <v>0</v>
      </c>
      <c r="DI104">
        <v>30</v>
      </c>
      <c r="DJ104" s="26" t="s">
        <v>1358</v>
      </c>
      <c r="DK104" t="s">
        <v>736</v>
      </c>
      <c r="DL104">
        <v>10.4</v>
      </c>
      <c r="DM104">
        <v>0</v>
      </c>
      <c r="DN104">
        <v>30</v>
      </c>
      <c r="DO104" s="26" t="s">
        <v>1358</v>
      </c>
      <c r="DP104" t="s">
        <v>6</v>
      </c>
      <c r="DQ104" t="s">
        <v>814</v>
      </c>
      <c r="DR104">
        <v>6.2</v>
      </c>
      <c r="DS104">
        <v>0</v>
      </c>
      <c r="DT104">
        <v>30</v>
      </c>
      <c r="DU104" s="26" t="s">
        <v>1358</v>
      </c>
      <c r="EA104" t="s">
        <v>982</v>
      </c>
      <c r="EB104">
        <v>27</v>
      </c>
      <c r="EC104">
        <v>0</v>
      </c>
      <c r="ED104">
        <v>30</v>
      </c>
      <c r="EE104" s="26" t="s">
        <v>1358</v>
      </c>
      <c r="EF104" s="26"/>
      <c r="FZ104" t="s">
        <v>806</v>
      </c>
      <c r="GA104">
        <v>597</v>
      </c>
      <c r="GE104" s="26" t="s">
        <v>1358</v>
      </c>
      <c r="HA104" s="5" t="s">
        <v>1069</v>
      </c>
      <c r="HB104" s="4">
        <v>14.3</v>
      </c>
      <c r="HC104">
        <v>0</v>
      </c>
      <c r="HD104">
        <v>30</v>
      </c>
      <c r="HE104" s="26" t="s">
        <v>1358</v>
      </c>
      <c r="HF104" s="5" t="s">
        <v>1063</v>
      </c>
      <c r="HG104" s="4">
        <v>1.9285714285714286</v>
      </c>
      <c r="HH104">
        <v>0</v>
      </c>
      <c r="HI104">
        <v>30</v>
      </c>
      <c r="HJ104" s="26" t="s">
        <v>1358</v>
      </c>
      <c r="HK104" t="s">
        <v>815</v>
      </c>
      <c r="HL104">
        <v>1.45</v>
      </c>
      <c r="HM104">
        <v>0</v>
      </c>
      <c r="HN104">
        <v>30</v>
      </c>
      <c r="HO104" t="s">
        <v>1</v>
      </c>
      <c r="HP104" s="26" t="s">
        <v>1358</v>
      </c>
      <c r="HZ104" t="s">
        <v>966</v>
      </c>
      <c r="IA104">
        <v>80</v>
      </c>
      <c r="IB104" s="5" t="s">
        <v>1</v>
      </c>
      <c r="IC104" s="5"/>
      <c r="ID104" s="5"/>
      <c r="IE104" s="10" t="s">
        <v>1</v>
      </c>
      <c r="IF104" s="10" t="s">
        <v>1</v>
      </c>
      <c r="IG104" s="10"/>
      <c r="IH104" s="10"/>
      <c r="II104" s="10"/>
      <c r="IJ104" s="10"/>
      <c r="IK104" s="10"/>
      <c r="IL104" s="10"/>
      <c r="IM104" s="10"/>
      <c r="IN104" s="10"/>
      <c r="IO104" s="10"/>
      <c r="IP104" s="10"/>
      <c r="IQ104" s="10"/>
      <c r="IR104" s="10"/>
      <c r="IS104" t="s">
        <v>1</v>
      </c>
      <c r="IT104" t="s">
        <v>1</v>
      </c>
      <c r="IW104" t="s">
        <v>1</v>
      </c>
      <c r="IX104" t="s">
        <v>1</v>
      </c>
      <c r="IY104" t="s">
        <v>808</v>
      </c>
      <c r="IZ104">
        <v>750</v>
      </c>
      <c r="JA104" t="s">
        <v>1</v>
      </c>
      <c r="JB104" s="3" t="s">
        <v>1</v>
      </c>
      <c r="JC104" t="s">
        <v>1</v>
      </c>
      <c r="JD104" s="4" t="s">
        <v>1</v>
      </c>
      <c r="JE104" t="s">
        <v>810</v>
      </c>
      <c r="JF104">
        <v>100</v>
      </c>
      <c r="JR104" t="s">
        <v>1066</v>
      </c>
      <c r="JS104">
        <v>137.19999999999999</v>
      </c>
      <c r="JU104" t="s">
        <v>1</v>
      </c>
      <c r="JW104" t="s">
        <v>1</v>
      </c>
      <c r="JX104">
        <v>0</v>
      </c>
      <c r="JY104">
        <v>107.99999999999999</v>
      </c>
      <c r="JZ104" t="s">
        <v>796</v>
      </c>
      <c r="KA104" t="s">
        <v>106</v>
      </c>
      <c r="KB104" t="s">
        <v>738</v>
      </c>
      <c r="KC104" t="s">
        <v>1</v>
      </c>
      <c r="KD104" t="s">
        <v>1</v>
      </c>
      <c r="KE104" t="s">
        <v>1</v>
      </c>
      <c r="KF104" t="s">
        <v>1</v>
      </c>
      <c r="KG104" t="s">
        <v>1</v>
      </c>
      <c r="KH104" t="s">
        <v>1</v>
      </c>
      <c r="KI104" t="s">
        <v>1</v>
      </c>
      <c r="KJ104" t="s">
        <v>1</v>
      </c>
      <c r="KK104" t="s">
        <v>1</v>
      </c>
    </row>
    <row r="105" spans="1:297" x14ac:dyDescent="0.2">
      <c r="A105">
        <v>104</v>
      </c>
      <c r="B105" t="s">
        <v>705</v>
      </c>
      <c r="C105" t="s">
        <v>108</v>
      </c>
      <c r="D105" t="s">
        <v>689</v>
      </c>
      <c r="E105">
        <v>13</v>
      </c>
      <c r="F105" t="s">
        <v>104</v>
      </c>
      <c r="G105" t="s">
        <v>1</v>
      </c>
      <c r="H105" s="26" t="s">
        <v>1420</v>
      </c>
      <c r="I105" t="s">
        <v>1</v>
      </c>
      <c r="J105" t="s">
        <v>1</v>
      </c>
      <c r="K105" t="s">
        <v>1</v>
      </c>
      <c r="L105" t="s">
        <v>1</v>
      </c>
      <c r="M105" t="s">
        <v>1</v>
      </c>
      <c r="N105" t="s">
        <v>1</v>
      </c>
      <c r="O105" t="s">
        <v>1</v>
      </c>
      <c r="P105" t="s">
        <v>1</v>
      </c>
      <c r="Q105" t="s">
        <v>1</v>
      </c>
      <c r="R105" t="s">
        <v>1</v>
      </c>
      <c r="S105" t="s">
        <v>1</v>
      </c>
      <c r="T105" t="s">
        <v>1</v>
      </c>
      <c r="U105" t="s">
        <v>1</v>
      </c>
      <c r="V105" t="s">
        <v>1</v>
      </c>
      <c r="W105" t="s">
        <v>1</v>
      </c>
      <c r="X105" t="s">
        <v>1</v>
      </c>
      <c r="Y105" t="s">
        <v>1</v>
      </c>
      <c r="Z105" t="s">
        <v>1</v>
      </c>
      <c r="AA105" t="s">
        <v>1</v>
      </c>
      <c r="AB105" t="s">
        <v>1</v>
      </c>
      <c r="AC105" t="s">
        <v>1</v>
      </c>
      <c r="AD105" t="s">
        <v>1</v>
      </c>
      <c r="AE105" t="s">
        <v>1</v>
      </c>
      <c r="AF105" t="s">
        <v>1</v>
      </c>
      <c r="AG105" t="s">
        <v>1</v>
      </c>
      <c r="AH105" t="s">
        <v>1</v>
      </c>
      <c r="AI105" t="s">
        <v>1</v>
      </c>
      <c r="AJ105" t="s">
        <v>1</v>
      </c>
      <c r="AK105" t="s">
        <v>1</v>
      </c>
      <c r="AL105" t="s">
        <v>1</v>
      </c>
      <c r="AM105" t="s">
        <v>1</v>
      </c>
      <c r="AN105">
        <v>104</v>
      </c>
      <c r="AO105">
        <f t="shared" si="7"/>
        <v>104</v>
      </c>
      <c r="AP105">
        <f t="shared" si="5"/>
        <v>13</v>
      </c>
      <c r="AQ105">
        <f t="shared" si="6"/>
        <v>13</v>
      </c>
      <c r="AR105" s="26" t="s">
        <v>1355</v>
      </c>
      <c r="AS105" s="26" t="s">
        <v>1356</v>
      </c>
      <c r="AT105" t="s">
        <v>714</v>
      </c>
      <c r="AU105" t="s">
        <v>1</v>
      </c>
      <c r="AV105" t="s">
        <v>1</v>
      </c>
      <c r="AW105">
        <v>56.48</v>
      </c>
      <c r="AX105">
        <v>13</v>
      </c>
      <c r="AY105" t="s">
        <v>737</v>
      </c>
      <c r="BA105" s="3">
        <v>3</v>
      </c>
      <c r="BB105" s="3"/>
      <c r="BC105" s="3"/>
      <c r="BD105" s="3"/>
      <c r="BE105" s="3"/>
      <c r="BF105">
        <v>2001</v>
      </c>
      <c r="BG105" s="24" t="s">
        <v>733</v>
      </c>
      <c r="BH105" s="24" t="s">
        <v>733</v>
      </c>
      <c r="BI105" s="24" t="s">
        <v>733</v>
      </c>
      <c r="BJ105" s="24" t="s">
        <v>732</v>
      </c>
      <c r="BK105" s="24" t="s">
        <v>733</v>
      </c>
      <c r="BL105" s="25" t="s">
        <v>733</v>
      </c>
      <c r="BM105" s="24" t="s">
        <v>733</v>
      </c>
      <c r="BN105" s="24" t="s">
        <v>732</v>
      </c>
      <c r="BO105" s="24" t="s">
        <v>733</v>
      </c>
      <c r="BP105" s="24" t="s">
        <v>733</v>
      </c>
      <c r="BQ105" s="24" t="s">
        <v>945</v>
      </c>
      <c r="BR105" s="24" t="s">
        <v>945</v>
      </c>
      <c r="BS105" s="25" t="s">
        <v>934</v>
      </c>
      <c r="BT105" s="24" t="s">
        <v>934</v>
      </c>
      <c r="BU105" s="24" t="s">
        <v>934</v>
      </c>
      <c r="BV105" s="24" t="s">
        <v>934</v>
      </c>
      <c r="BW105" s="24" t="s">
        <v>934</v>
      </c>
      <c r="BX105" s="24" t="s">
        <v>934</v>
      </c>
      <c r="BY105" s="25" t="s">
        <v>945</v>
      </c>
      <c r="BZ105" t="s">
        <v>1398</v>
      </c>
      <c r="CB105" t="s">
        <v>1</v>
      </c>
      <c r="CC105" s="4">
        <f>AVERAGE(1920,1580)</f>
        <v>1750</v>
      </c>
      <c r="CD105" s="4"/>
      <c r="CE105" s="4"/>
      <c r="CF105" t="s">
        <v>793</v>
      </c>
      <c r="CG105">
        <v>100</v>
      </c>
      <c r="CH105" t="s">
        <v>805</v>
      </c>
      <c r="CI105" s="1">
        <v>1</v>
      </c>
      <c r="CJ105" s="10" t="s">
        <v>1442</v>
      </c>
      <c r="CK105" t="s">
        <v>807</v>
      </c>
      <c r="CL105" s="4">
        <f>AVERAGE(6110,4170)</f>
        <v>5140</v>
      </c>
      <c r="CM105" t="s">
        <v>847</v>
      </c>
      <c r="CN105" s="4">
        <f>AVERAGE(47,121)</f>
        <v>84</v>
      </c>
      <c r="CO105" s="4"/>
      <c r="CP105" s="4" t="s">
        <v>1</v>
      </c>
      <c r="CQ105" s="4" t="s">
        <v>1</v>
      </c>
      <c r="CR105" s="4" t="s">
        <v>1</v>
      </c>
      <c r="CS105" s="4" t="s">
        <v>1</v>
      </c>
      <c r="CT105" s="4" t="s">
        <v>1</v>
      </c>
      <c r="CU105" s="4" t="s">
        <v>1</v>
      </c>
      <c r="CV105" t="s">
        <v>855</v>
      </c>
      <c r="CW105">
        <v>100</v>
      </c>
      <c r="CX105">
        <v>0</v>
      </c>
      <c r="CY105">
        <v>30</v>
      </c>
      <c r="CZ105" s="26" t="s">
        <v>1358</v>
      </c>
      <c r="DA105" t="s">
        <v>734</v>
      </c>
      <c r="DB105">
        <v>79.400000000000006</v>
      </c>
      <c r="DC105">
        <v>0</v>
      </c>
      <c r="DD105">
        <v>30</v>
      </c>
      <c r="DE105" s="26" t="s">
        <v>1358</v>
      </c>
      <c r="DF105" t="s">
        <v>735</v>
      </c>
      <c r="DG105">
        <v>10.199999999999999</v>
      </c>
      <c r="DH105">
        <v>0</v>
      </c>
      <c r="DI105">
        <v>30</v>
      </c>
      <c r="DJ105" s="26" t="s">
        <v>1358</v>
      </c>
      <c r="DK105" t="s">
        <v>736</v>
      </c>
      <c r="DL105">
        <v>10.4</v>
      </c>
      <c r="DM105">
        <v>0</v>
      </c>
      <c r="DN105">
        <v>30</v>
      </c>
      <c r="DO105" s="26" t="s">
        <v>1358</v>
      </c>
      <c r="DP105" t="s">
        <v>6</v>
      </c>
      <c r="DQ105" t="s">
        <v>814</v>
      </c>
      <c r="DR105">
        <v>6.2</v>
      </c>
      <c r="DS105">
        <v>0</v>
      </c>
      <c r="DT105">
        <v>30</v>
      </c>
      <c r="DU105" s="26" t="s">
        <v>1358</v>
      </c>
      <c r="EA105" t="s">
        <v>982</v>
      </c>
      <c r="EB105">
        <v>27</v>
      </c>
      <c r="EC105">
        <v>0</v>
      </c>
      <c r="ED105">
        <v>30</v>
      </c>
      <c r="EE105" s="26" t="s">
        <v>1358</v>
      </c>
      <c r="EF105" s="26"/>
      <c r="FZ105" t="s">
        <v>806</v>
      </c>
      <c r="GA105">
        <v>597</v>
      </c>
      <c r="GE105" s="26" t="s">
        <v>1358</v>
      </c>
      <c r="HA105" s="5" t="s">
        <v>1069</v>
      </c>
      <c r="HB105" s="4">
        <v>14.3</v>
      </c>
      <c r="HC105">
        <v>0</v>
      </c>
      <c r="HD105">
        <v>30</v>
      </c>
      <c r="HE105" s="26" t="s">
        <v>1358</v>
      </c>
      <c r="HF105" s="5" t="s">
        <v>1063</v>
      </c>
      <c r="HG105" s="4">
        <v>1.9285714285714286</v>
      </c>
      <c r="HH105">
        <v>0</v>
      </c>
      <c r="HI105">
        <v>30</v>
      </c>
      <c r="HJ105" s="26" t="s">
        <v>1358</v>
      </c>
      <c r="HK105" t="s">
        <v>815</v>
      </c>
      <c r="HL105">
        <v>1.45</v>
      </c>
      <c r="HM105">
        <v>0</v>
      </c>
      <c r="HN105">
        <v>30</v>
      </c>
      <c r="HO105" t="s">
        <v>1</v>
      </c>
      <c r="HP105" s="26" t="s">
        <v>1358</v>
      </c>
      <c r="HZ105" t="s">
        <v>966</v>
      </c>
      <c r="IA105">
        <v>40</v>
      </c>
      <c r="IB105" s="5" t="s">
        <v>1</v>
      </c>
      <c r="IC105" s="5"/>
      <c r="ID105" s="5"/>
      <c r="IE105" s="10" t="s">
        <v>1</v>
      </c>
      <c r="IF105" s="10" t="s">
        <v>1</v>
      </c>
      <c r="IG105" s="10"/>
      <c r="IH105" s="10"/>
      <c r="II105" s="10"/>
      <c r="IJ105" s="10"/>
      <c r="IK105" s="10"/>
      <c r="IL105" s="10"/>
      <c r="IM105" s="10"/>
      <c r="IN105" s="10"/>
      <c r="IO105" s="10"/>
      <c r="IP105" s="10"/>
      <c r="IQ105" s="10"/>
      <c r="IR105" s="10"/>
      <c r="IS105" t="s">
        <v>1</v>
      </c>
      <c r="IT105" t="s">
        <v>1</v>
      </c>
      <c r="IW105" t="s">
        <v>1</v>
      </c>
      <c r="IX105" t="s">
        <v>1</v>
      </c>
      <c r="IY105" t="s">
        <v>808</v>
      </c>
      <c r="IZ105">
        <v>750</v>
      </c>
      <c r="JA105" t="s">
        <v>1</v>
      </c>
      <c r="JB105" s="3" t="s">
        <v>1</v>
      </c>
      <c r="JC105" t="s">
        <v>1</v>
      </c>
      <c r="JD105" s="4" t="s">
        <v>1</v>
      </c>
      <c r="JE105" t="s">
        <v>810</v>
      </c>
      <c r="JF105">
        <v>100</v>
      </c>
      <c r="JR105" t="s">
        <v>1066</v>
      </c>
      <c r="JS105">
        <v>110.7</v>
      </c>
      <c r="JU105" t="s">
        <v>1</v>
      </c>
      <c r="JW105" t="s">
        <v>1</v>
      </c>
      <c r="JX105">
        <v>0</v>
      </c>
      <c r="JY105">
        <v>107.99999999999999</v>
      </c>
      <c r="JZ105" t="s">
        <v>796</v>
      </c>
      <c r="KA105" t="s">
        <v>106</v>
      </c>
      <c r="KB105" t="s">
        <v>738</v>
      </c>
      <c r="KC105" t="s">
        <v>1</v>
      </c>
      <c r="KD105" t="s">
        <v>1</v>
      </c>
      <c r="KE105" t="s">
        <v>1</v>
      </c>
      <c r="KF105" t="s">
        <v>1</v>
      </c>
      <c r="KG105" t="s">
        <v>1</v>
      </c>
      <c r="KH105" t="s">
        <v>1</v>
      </c>
      <c r="KI105" t="s">
        <v>1</v>
      </c>
      <c r="KJ105" t="s">
        <v>1</v>
      </c>
      <c r="KK105" t="s">
        <v>1</v>
      </c>
    </row>
    <row r="106" spans="1:297" x14ac:dyDescent="0.2">
      <c r="A106">
        <v>105</v>
      </c>
      <c r="B106" t="s">
        <v>705</v>
      </c>
      <c r="C106" t="s">
        <v>109</v>
      </c>
      <c r="D106" t="s">
        <v>689</v>
      </c>
      <c r="E106">
        <v>13</v>
      </c>
      <c r="F106" t="s">
        <v>104</v>
      </c>
      <c r="G106" t="s">
        <v>1</v>
      </c>
      <c r="H106" s="26" t="s">
        <v>1420</v>
      </c>
      <c r="I106" t="s">
        <v>1</v>
      </c>
      <c r="J106" t="s">
        <v>1</v>
      </c>
      <c r="K106" t="s">
        <v>1</v>
      </c>
      <c r="L106" t="s">
        <v>1</v>
      </c>
      <c r="M106" t="s">
        <v>1</v>
      </c>
      <c r="N106" t="s">
        <v>1</v>
      </c>
      <c r="O106" t="s">
        <v>1</v>
      </c>
      <c r="P106" t="s">
        <v>1</v>
      </c>
      <c r="Q106" t="s">
        <v>1</v>
      </c>
      <c r="R106" t="s">
        <v>1</v>
      </c>
      <c r="S106" t="s">
        <v>1</v>
      </c>
      <c r="T106" t="s">
        <v>1</v>
      </c>
      <c r="U106" t="s">
        <v>1</v>
      </c>
      <c r="V106" t="s">
        <v>1</v>
      </c>
      <c r="W106" t="s">
        <v>1</v>
      </c>
      <c r="X106" t="s">
        <v>1</v>
      </c>
      <c r="Y106" t="s">
        <v>1</v>
      </c>
      <c r="Z106" t="s">
        <v>1</v>
      </c>
      <c r="AA106" t="s">
        <v>1</v>
      </c>
      <c r="AB106" t="s">
        <v>1</v>
      </c>
      <c r="AC106" t="s">
        <v>1</v>
      </c>
      <c r="AD106" t="s">
        <v>1</v>
      </c>
      <c r="AE106" t="s">
        <v>1</v>
      </c>
      <c r="AF106" t="s">
        <v>1</v>
      </c>
      <c r="AG106" t="s">
        <v>1</v>
      </c>
      <c r="AH106" t="s">
        <v>1</v>
      </c>
      <c r="AI106" t="s">
        <v>1</v>
      </c>
      <c r="AJ106" t="s">
        <v>1</v>
      </c>
      <c r="AK106" t="s">
        <v>1</v>
      </c>
      <c r="AL106" t="s">
        <v>1</v>
      </c>
      <c r="AM106" t="s">
        <v>1</v>
      </c>
      <c r="AN106">
        <v>105</v>
      </c>
      <c r="AO106">
        <f t="shared" si="7"/>
        <v>105</v>
      </c>
      <c r="AP106">
        <f t="shared" si="5"/>
        <v>13</v>
      </c>
      <c r="AQ106">
        <f t="shared" si="6"/>
        <v>13</v>
      </c>
      <c r="AR106" s="26" t="s">
        <v>1355</v>
      </c>
      <c r="AS106" s="26" t="s">
        <v>1356</v>
      </c>
      <c r="AT106" t="s">
        <v>714</v>
      </c>
      <c r="AU106" t="s">
        <v>1</v>
      </c>
      <c r="AV106" t="s">
        <v>1</v>
      </c>
      <c r="AW106">
        <v>56.48</v>
      </c>
      <c r="AX106">
        <v>13</v>
      </c>
      <c r="AY106" t="s">
        <v>737</v>
      </c>
      <c r="BA106" s="3">
        <v>3</v>
      </c>
      <c r="BB106" s="3"/>
      <c r="BC106" s="3"/>
      <c r="BD106" s="3"/>
      <c r="BE106" s="3"/>
      <c r="BF106">
        <v>2001</v>
      </c>
      <c r="BG106" s="24" t="s">
        <v>733</v>
      </c>
      <c r="BH106" s="24" t="s">
        <v>733</v>
      </c>
      <c r="BI106" s="24" t="s">
        <v>733</v>
      </c>
      <c r="BJ106" s="24" t="s">
        <v>732</v>
      </c>
      <c r="BK106" s="24" t="s">
        <v>733</v>
      </c>
      <c r="BL106" s="25" t="s">
        <v>733</v>
      </c>
      <c r="BM106" s="24" t="s">
        <v>733</v>
      </c>
      <c r="BN106" s="24" t="s">
        <v>732</v>
      </c>
      <c r="BO106" s="24" t="s">
        <v>733</v>
      </c>
      <c r="BP106" s="24" t="s">
        <v>733</v>
      </c>
      <c r="BQ106" s="24" t="s">
        <v>945</v>
      </c>
      <c r="BR106" s="24" t="s">
        <v>945</v>
      </c>
      <c r="BS106" s="25" t="s">
        <v>934</v>
      </c>
      <c r="BT106" s="24" t="s">
        <v>934</v>
      </c>
      <c r="BU106" s="24" t="s">
        <v>934</v>
      </c>
      <c r="BV106" s="24" t="s">
        <v>934</v>
      </c>
      <c r="BW106" s="24" t="s">
        <v>934</v>
      </c>
      <c r="BX106" s="24" t="s">
        <v>934</v>
      </c>
      <c r="BY106" s="25" t="s">
        <v>945</v>
      </c>
      <c r="BZ106" t="s">
        <v>1398</v>
      </c>
      <c r="CB106" t="s">
        <v>1</v>
      </c>
      <c r="CC106" s="4">
        <f>AVERAGE(3600,2000)</f>
        <v>2800</v>
      </c>
      <c r="CD106" s="4"/>
      <c r="CE106" s="4"/>
      <c r="CF106" t="s">
        <v>793</v>
      </c>
      <c r="CG106">
        <v>100</v>
      </c>
      <c r="CH106" t="s">
        <v>805</v>
      </c>
      <c r="CI106" s="1">
        <v>1</v>
      </c>
      <c r="CJ106" s="10" t="s">
        <v>1442</v>
      </c>
      <c r="CK106" t="s">
        <v>807</v>
      </c>
      <c r="CL106" s="4">
        <f>AVERAGE(3950,4230)</f>
        <v>4090</v>
      </c>
      <c r="CM106" t="s">
        <v>847</v>
      </c>
      <c r="CN106" s="4">
        <f>AVERAGE(56,121)</f>
        <v>88.5</v>
      </c>
      <c r="CO106" s="4"/>
      <c r="CP106" s="4" t="s">
        <v>1</v>
      </c>
      <c r="CQ106" s="4" t="s">
        <v>1</v>
      </c>
      <c r="CR106" s="4" t="s">
        <v>1</v>
      </c>
      <c r="CS106" s="4" t="s">
        <v>1</v>
      </c>
      <c r="CT106" s="4" t="s">
        <v>1</v>
      </c>
      <c r="CU106" s="4" t="s">
        <v>1</v>
      </c>
      <c r="CV106" t="s">
        <v>855</v>
      </c>
      <c r="CW106">
        <v>100</v>
      </c>
      <c r="CX106">
        <v>0</v>
      </c>
      <c r="CY106">
        <v>30</v>
      </c>
      <c r="CZ106" s="26" t="s">
        <v>1358</v>
      </c>
      <c r="DA106" t="s">
        <v>734</v>
      </c>
      <c r="DB106">
        <v>79.400000000000006</v>
      </c>
      <c r="DC106">
        <v>0</v>
      </c>
      <c r="DD106">
        <v>30</v>
      </c>
      <c r="DE106" s="26" t="s">
        <v>1358</v>
      </c>
      <c r="DF106" t="s">
        <v>735</v>
      </c>
      <c r="DG106">
        <v>10.199999999999999</v>
      </c>
      <c r="DH106">
        <v>0</v>
      </c>
      <c r="DI106">
        <v>30</v>
      </c>
      <c r="DJ106" s="26" t="s">
        <v>1358</v>
      </c>
      <c r="DK106" t="s">
        <v>736</v>
      </c>
      <c r="DL106">
        <v>10.4</v>
      </c>
      <c r="DM106">
        <v>0</v>
      </c>
      <c r="DN106">
        <v>30</v>
      </c>
      <c r="DO106" s="26" t="s">
        <v>1358</v>
      </c>
      <c r="DP106" t="s">
        <v>6</v>
      </c>
      <c r="DQ106" t="s">
        <v>814</v>
      </c>
      <c r="DR106">
        <v>6.2</v>
      </c>
      <c r="DS106">
        <v>0</v>
      </c>
      <c r="DT106">
        <v>30</v>
      </c>
      <c r="DU106" s="26" t="s">
        <v>1358</v>
      </c>
      <c r="EA106" t="s">
        <v>982</v>
      </c>
      <c r="EB106">
        <v>27</v>
      </c>
      <c r="EC106">
        <v>0</v>
      </c>
      <c r="ED106">
        <v>30</v>
      </c>
      <c r="EE106" s="26" t="s">
        <v>1358</v>
      </c>
      <c r="EF106" s="26"/>
      <c r="FZ106" t="s">
        <v>806</v>
      </c>
      <c r="GA106">
        <v>597</v>
      </c>
      <c r="GE106" s="26" t="s">
        <v>1358</v>
      </c>
      <c r="HA106" s="5" t="s">
        <v>1069</v>
      </c>
      <c r="HB106" s="4">
        <v>14.3</v>
      </c>
      <c r="HC106">
        <v>0</v>
      </c>
      <c r="HD106">
        <v>30</v>
      </c>
      <c r="HE106" s="26" t="s">
        <v>1358</v>
      </c>
      <c r="HF106" s="5" t="s">
        <v>1063</v>
      </c>
      <c r="HG106" s="4">
        <v>1.9285714285714286</v>
      </c>
      <c r="HH106">
        <v>0</v>
      </c>
      <c r="HI106">
        <v>30</v>
      </c>
      <c r="HJ106" s="26" t="s">
        <v>1358</v>
      </c>
      <c r="HK106" t="s">
        <v>815</v>
      </c>
      <c r="HL106">
        <v>1.45</v>
      </c>
      <c r="HM106">
        <v>0</v>
      </c>
      <c r="HN106">
        <v>30</v>
      </c>
      <c r="HO106" t="s">
        <v>1</v>
      </c>
      <c r="HP106" s="26" t="s">
        <v>1358</v>
      </c>
      <c r="HZ106" t="s">
        <v>966</v>
      </c>
      <c r="IA106">
        <v>40</v>
      </c>
      <c r="IB106" s="5" t="s">
        <v>1</v>
      </c>
      <c r="IC106" s="5"/>
      <c r="ID106" s="5"/>
      <c r="IE106" s="10" t="s">
        <v>1</v>
      </c>
      <c r="IF106" s="10" t="s">
        <v>1</v>
      </c>
      <c r="IG106" s="10"/>
      <c r="IH106" s="10"/>
      <c r="II106" s="10"/>
      <c r="IJ106" s="10"/>
      <c r="IK106" s="10"/>
      <c r="IL106" s="10"/>
      <c r="IM106" s="10"/>
      <c r="IN106" s="10"/>
      <c r="IO106" s="10"/>
      <c r="IP106" s="10"/>
      <c r="IQ106" s="10"/>
      <c r="IR106" s="10"/>
      <c r="IS106" t="s">
        <v>1</v>
      </c>
      <c r="IT106" t="s">
        <v>1</v>
      </c>
      <c r="IW106" t="s">
        <v>1</v>
      </c>
      <c r="IX106" t="s">
        <v>1</v>
      </c>
      <c r="IY106" t="s">
        <v>808</v>
      </c>
      <c r="IZ106">
        <v>750</v>
      </c>
      <c r="JA106" t="s">
        <v>1</v>
      </c>
      <c r="JB106" s="3" t="s">
        <v>1</v>
      </c>
      <c r="JC106" t="s">
        <v>1</v>
      </c>
      <c r="JD106" s="4" t="s">
        <v>1</v>
      </c>
      <c r="JE106" t="s">
        <v>810</v>
      </c>
      <c r="JF106">
        <v>100</v>
      </c>
      <c r="JR106" t="s">
        <v>1066</v>
      </c>
      <c r="JS106">
        <v>159.4</v>
      </c>
      <c r="JU106" t="s">
        <v>1</v>
      </c>
      <c r="JW106" t="s">
        <v>1</v>
      </c>
      <c r="JX106">
        <v>0</v>
      </c>
      <c r="JY106">
        <v>118</v>
      </c>
      <c r="JZ106" t="s">
        <v>796</v>
      </c>
      <c r="KA106" t="s">
        <v>106</v>
      </c>
      <c r="KB106" t="s">
        <v>738</v>
      </c>
      <c r="KC106" t="s">
        <v>1</v>
      </c>
      <c r="KD106" t="s">
        <v>1</v>
      </c>
      <c r="KE106" t="s">
        <v>1</v>
      </c>
      <c r="KF106" t="s">
        <v>1</v>
      </c>
      <c r="KG106" t="s">
        <v>1</v>
      </c>
      <c r="KH106" t="s">
        <v>1</v>
      </c>
      <c r="KI106" t="s">
        <v>1</v>
      </c>
      <c r="KJ106" t="s">
        <v>1</v>
      </c>
      <c r="KK106" t="s">
        <v>1</v>
      </c>
    </row>
    <row r="107" spans="1:297" x14ac:dyDescent="0.2">
      <c r="A107">
        <v>106</v>
      </c>
      <c r="B107" t="s">
        <v>705</v>
      </c>
      <c r="C107" t="s">
        <v>112</v>
      </c>
      <c r="D107" t="s">
        <v>110</v>
      </c>
      <c r="E107">
        <v>14</v>
      </c>
      <c r="F107" t="s">
        <v>111</v>
      </c>
      <c r="G107" t="s">
        <v>1</v>
      </c>
      <c r="H107" s="26" t="s">
        <v>1420</v>
      </c>
      <c r="I107" t="s">
        <v>1</v>
      </c>
      <c r="J107" t="s">
        <v>1</v>
      </c>
      <c r="K107" t="s">
        <v>1</v>
      </c>
      <c r="L107" t="s">
        <v>1</v>
      </c>
      <c r="M107" t="s">
        <v>1</v>
      </c>
      <c r="N107" t="s">
        <v>1</v>
      </c>
      <c r="O107" t="s">
        <v>1</v>
      </c>
      <c r="P107" t="s">
        <v>1</v>
      </c>
      <c r="Q107" t="s">
        <v>1</v>
      </c>
      <c r="R107" t="s">
        <v>1</v>
      </c>
      <c r="S107" t="s">
        <v>1</v>
      </c>
      <c r="T107" t="s">
        <v>1</v>
      </c>
      <c r="U107" t="s">
        <v>1</v>
      </c>
      <c r="V107" t="s">
        <v>1</v>
      </c>
      <c r="W107" t="s">
        <v>1</v>
      </c>
      <c r="X107" t="s">
        <v>1</v>
      </c>
      <c r="Y107" t="s">
        <v>1</v>
      </c>
      <c r="Z107" t="s">
        <v>1</v>
      </c>
      <c r="AA107" t="s">
        <v>1</v>
      </c>
      <c r="AB107" t="s">
        <v>1</v>
      </c>
      <c r="AC107" t="s">
        <v>1</v>
      </c>
      <c r="AD107" t="s">
        <v>1</v>
      </c>
      <c r="AE107" t="s">
        <v>1</v>
      </c>
      <c r="AF107" t="s">
        <v>1</v>
      </c>
      <c r="AG107" t="s">
        <v>1</v>
      </c>
      <c r="AH107" t="s">
        <v>1</v>
      </c>
      <c r="AI107" t="s">
        <v>1</v>
      </c>
      <c r="AJ107" t="s">
        <v>1</v>
      </c>
      <c r="AK107" t="s">
        <v>1</v>
      </c>
      <c r="AL107" t="s">
        <v>1</v>
      </c>
      <c r="AM107" t="s">
        <v>1</v>
      </c>
      <c r="AN107">
        <v>106</v>
      </c>
      <c r="AO107">
        <f t="shared" si="7"/>
        <v>106</v>
      </c>
      <c r="AP107">
        <f t="shared" si="5"/>
        <v>14</v>
      </c>
      <c r="AQ107">
        <f t="shared" si="6"/>
        <v>14</v>
      </c>
      <c r="AR107" s="26" t="s">
        <v>1355</v>
      </c>
      <c r="AS107" s="26" t="s">
        <v>1356</v>
      </c>
      <c r="AT107" t="s">
        <v>715</v>
      </c>
      <c r="AU107" t="s">
        <v>1</v>
      </c>
      <c r="AV107" t="s">
        <v>1</v>
      </c>
      <c r="AW107">
        <v>47.43</v>
      </c>
      <c r="AX107">
        <v>8.67</v>
      </c>
      <c r="AY107" t="s">
        <v>737</v>
      </c>
      <c r="BA107" s="3">
        <f>3*4</f>
        <v>12</v>
      </c>
      <c r="BB107" s="3"/>
      <c r="BC107" s="3"/>
      <c r="BD107" s="3"/>
      <c r="BE107" s="3"/>
      <c r="BF107">
        <v>1998</v>
      </c>
      <c r="BG107" s="24" t="s">
        <v>733</v>
      </c>
      <c r="BH107" s="24" t="s">
        <v>733</v>
      </c>
      <c r="BI107" s="24" t="s">
        <v>733</v>
      </c>
      <c r="BJ107" s="24" t="s">
        <v>732</v>
      </c>
      <c r="BK107" s="24" t="s">
        <v>733</v>
      </c>
      <c r="BL107" s="25" t="s">
        <v>733</v>
      </c>
      <c r="BM107" s="24" t="s">
        <v>733</v>
      </c>
      <c r="BN107" s="24" t="s">
        <v>732</v>
      </c>
      <c r="BO107" s="24" t="s">
        <v>733</v>
      </c>
      <c r="BP107" s="24" t="s">
        <v>733</v>
      </c>
      <c r="BQ107" s="24" t="s">
        <v>945</v>
      </c>
      <c r="BR107" s="24" t="s">
        <v>945</v>
      </c>
      <c r="BS107" s="25" t="s">
        <v>934</v>
      </c>
      <c r="BT107" s="24" t="s">
        <v>934</v>
      </c>
      <c r="BU107" s="24" t="s">
        <v>934</v>
      </c>
      <c r="BV107" s="24" t="s">
        <v>934</v>
      </c>
      <c r="BW107" s="24" t="s">
        <v>934</v>
      </c>
      <c r="BX107" s="24" t="s">
        <v>934</v>
      </c>
      <c r="BY107" s="25" t="s">
        <v>945</v>
      </c>
      <c r="BZ107" t="s">
        <v>62</v>
      </c>
      <c r="CB107" t="s">
        <v>113</v>
      </c>
      <c r="CC107" s="4">
        <f>632*10</f>
        <v>6320</v>
      </c>
      <c r="CD107" s="4"/>
      <c r="CE107" s="4"/>
      <c r="CF107" t="s">
        <v>793</v>
      </c>
      <c r="CG107">
        <v>100</v>
      </c>
      <c r="CH107" t="s">
        <v>805</v>
      </c>
      <c r="CI107" s="1">
        <v>1.1499999999999999</v>
      </c>
      <c r="CJ107" s="10" t="s">
        <v>1442</v>
      </c>
      <c r="CK107" t="s">
        <v>807</v>
      </c>
      <c r="CL107" s="4">
        <f>1378*10-6320</f>
        <v>7460</v>
      </c>
      <c r="CM107" t="s">
        <v>847</v>
      </c>
      <c r="CN107" s="4">
        <f>17*10</f>
        <v>170</v>
      </c>
      <c r="CO107" s="4"/>
      <c r="CP107" s="4" t="s">
        <v>1</v>
      </c>
      <c r="CQ107" s="4" t="s">
        <v>1</v>
      </c>
      <c r="CR107" s="4" t="s">
        <v>1</v>
      </c>
      <c r="CS107" s="4" t="s">
        <v>1</v>
      </c>
      <c r="CT107" s="4" t="s">
        <v>1</v>
      </c>
      <c r="CU107" s="4" t="s">
        <v>1</v>
      </c>
      <c r="CV107" t="s">
        <v>855</v>
      </c>
      <c r="CW107">
        <v>100</v>
      </c>
      <c r="CX107">
        <v>0</v>
      </c>
      <c r="CY107">
        <v>30</v>
      </c>
      <c r="CZ107" s="26" t="s">
        <v>1358</v>
      </c>
      <c r="DA107" t="s">
        <v>734</v>
      </c>
      <c r="DB107">
        <v>54</v>
      </c>
      <c r="DC107">
        <v>0</v>
      </c>
      <c r="DD107">
        <v>30</v>
      </c>
      <c r="DE107" s="26" t="s">
        <v>1358</v>
      </c>
      <c r="DF107" t="s">
        <v>735</v>
      </c>
      <c r="DG107">
        <v>29</v>
      </c>
      <c r="DH107">
        <v>0</v>
      </c>
      <c r="DI107">
        <v>30</v>
      </c>
      <c r="DJ107" s="26" t="s">
        <v>1358</v>
      </c>
      <c r="DK107" t="s">
        <v>736</v>
      </c>
      <c r="DL107">
        <v>17</v>
      </c>
      <c r="DM107">
        <v>0</v>
      </c>
      <c r="DN107">
        <v>30</v>
      </c>
      <c r="DO107" s="26" t="s">
        <v>1358</v>
      </c>
      <c r="DP107" t="s">
        <v>6</v>
      </c>
      <c r="DQ107" t="s">
        <v>813</v>
      </c>
      <c r="DR107">
        <v>7.6</v>
      </c>
      <c r="DS107">
        <v>0</v>
      </c>
      <c r="DT107">
        <v>30</v>
      </c>
      <c r="DU107" s="26" t="s">
        <v>1358</v>
      </c>
      <c r="EA107" t="s">
        <v>982</v>
      </c>
      <c r="EB107">
        <v>16.8</v>
      </c>
      <c r="EC107">
        <v>0</v>
      </c>
      <c r="ED107">
        <v>30</v>
      </c>
      <c r="EE107" s="26" t="s">
        <v>1358</v>
      </c>
      <c r="EF107" s="26"/>
      <c r="FZ107" t="s">
        <v>806</v>
      </c>
      <c r="GA107">
        <v>562.33333330000005</v>
      </c>
      <c r="GE107" s="26" t="s">
        <v>1358</v>
      </c>
      <c r="HA107" s="5" t="s">
        <v>1</v>
      </c>
      <c r="HB107" s="4" t="s">
        <v>1</v>
      </c>
      <c r="HC107" t="s">
        <v>1</v>
      </c>
      <c r="HD107" t="s">
        <v>1</v>
      </c>
      <c r="HE107" t="s">
        <v>1</v>
      </c>
      <c r="HF107" s="5" t="s">
        <v>1</v>
      </c>
      <c r="HG107" s="4" t="s">
        <v>1</v>
      </c>
      <c r="HH107" t="s">
        <v>1</v>
      </c>
      <c r="HI107" t="s">
        <v>1</v>
      </c>
      <c r="HJ107" t="s">
        <v>1</v>
      </c>
      <c r="HK107" t="s">
        <v>815</v>
      </c>
      <c r="HL107" s="4">
        <v>1.45</v>
      </c>
      <c r="HM107">
        <v>0</v>
      </c>
      <c r="HN107">
        <v>30</v>
      </c>
      <c r="HO107" t="s">
        <v>1450</v>
      </c>
      <c r="HP107" s="26" t="s">
        <v>1358</v>
      </c>
      <c r="HZ107" t="s">
        <v>966</v>
      </c>
      <c r="IA107">
        <v>20</v>
      </c>
      <c r="IB107" s="5" t="s">
        <v>1</v>
      </c>
      <c r="IC107" s="5"/>
      <c r="ID107" s="5"/>
      <c r="IE107" s="10" t="s">
        <v>1</v>
      </c>
      <c r="IF107" s="10" t="s">
        <v>1</v>
      </c>
      <c r="IG107" s="10"/>
      <c r="IH107" s="10"/>
      <c r="II107" s="10"/>
      <c r="IJ107" s="10"/>
      <c r="IK107" s="10"/>
      <c r="IL107" s="10"/>
      <c r="IM107" s="10"/>
      <c r="IN107" s="10"/>
      <c r="IO107" s="10"/>
      <c r="IP107" s="10"/>
      <c r="IQ107" s="10"/>
      <c r="IR107" s="10"/>
      <c r="IS107" t="s">
        <v>1</v>
      </c>
      <c r="IT107" t="s">
        <v>1</v>
      </c>
      <c r="IW107" t="s">
        <v>1</v>
      </c>
      <c r="IX107" t="s">
        <v>1</v>
      </c>
      <c r="IY107" t="s">
        <v>808</v>
      </c>
      <c r="IZ107">
        <v>250</v>
      </c>
      <c r="JA107" t="s">
        <v>1</v>
      </c>
      <c r="JB107" s="3" t="s">
        <v>1</v>
      </c>
      <c r="JC107" t="s">
        <v>1</v>
      </c>
      <c r="JD107" s="4" t="s">
        <v>1</v>
      </c>
      <c r="JE107" t="s">
        <v>1</v>
      </c>
      <c r="JF107" t="s">
        <v>1</v>
      </c>
      <c r="JR107" t="s">
        <v>1066</v>
      </c>
      <c r="JS107">
        <v>19.5</v>
      </c>
      <c r="JU107" t="s">
        <v>1</v>
      </c>
      <c r="JW107" t="s">
        <v>1</v>
      </c>
      <c r="JX107">
        <v>0</v>
      </c>
      <c r="JY107">
        <v>110.00000000000001</v>
      </c>
      <c r="JZ107" t="s">
        <v>796</v>
      </c>
      <c r="KA107" t="s">
        <v>114</v>
      </c>
      <c r="KB107" t="s">
        <v>738</v>
      </c>
      <c r="KC107" t="s">
        <v>1</v>
      </c>
      <c r="KD107" t="s">
        <v>1</v>
      </c>
      <c r="KE107" t="s">
        <v>1</v>
      </c>
      <c r="KF107" t="s">
        <v>1</v>
      </c>
      <c r="KG107" t="s">
        <v>1</v>
      </c>
      <c r="KH107" t="s">
        <v>1</v>
      </c>
      <c r="KI107" t="s">
        <v>1</v>
      </c>
      <c r="KJ107" t="s">
        <v>1</v>
      </c>
      <c r="KK107" t="s">
        <v>1</v>
      </c>
    </row>
    <row r="108" spans="1:297" x14ac:dyDescent="0.2">
      <c r="A108">
        <v>107</v>
      </c>
      <c r="B108" t="s">
        <v>705</v>
      </c>
      <c r="C108" t="s">
        <v>115</v>
      </c>
      <c r="D108" t="s">
        <v>110</v>
      </c>
      <c r="E108">
        <v>14</v>
      </c>
      <c r="F108" t="s">
        <v>111</v>
      </c>
      <c r="G108" t="s">
        <v>1</v>
      </c>
      <c r="H108" s="26" t="s">
        <v>1420</v>
      </c>
      <c r="I108" t="s">
        <v>1</v>
      </c>
      <c r="J108" t="s">
        <v>1</v>
      </c>
      <c r="K108" t="s">
        <v>1</v>
      </c>
      <c r="L108" t="s">
        <v>1</v>
      </c>
      <c r="M108" t="s">
        <v>1</v>
      </c>
      <c r="N108" t="s">
        <v>1</v>
      </c>
      <c r="O108" t="s">
        <v>1</v>
      </c>
      <c r="P108" t="s">
        <v>1</v>
      </c>
      <c r="Q108" t="s">
        <v>1</v>
      </c>
      <c r="R108" t="s">
        <v>1</v>
      </c>
      <c r="S108" t="s">
        <v>1</v>
      </c>
      <c r="T108" t="s">
        <v>1</v>
      </c>
      <c r="U108" t="s">
        <v>1</v>
      </c>
      <c r="V108" t="s">
        <v>1</v>
      </c>
      <c r="W108" t="s">
        <v>1</v>
      </c>
      <c r="X108" t="s">
        <v>1</v>
      </c>
      <c r="Y108" t="s">
        <v>1</v>
      </c>
      <c r="Z108" t="s">
        <v>1</v>
      </c>
      <c r="AA108" t="s">
        <v>1</v>
      </c>
      <c r="AB108" t="s">
        <v>1</v>
      </c>
      <c r="AC108" t="s">
        <v>1</v>
      </c>
      <c r="AD108" t="s">
        <v>1</v>
      </c>
      <c r="AE108" t="s">
        <v>1</v>
      </c>
      <c r="AF108" t="s">
        <v>1</v>
      </c>
      <c r="AG108" t="s">
        <v>1</v>
      </c>
      <c r="AH108" t="s">
        <v>1</v>
      </c>
      <c r="AI108" t="s">
        <v>1</v>
      </c>
      <c r="AJ108" t="s">
        <v>1</v>
      </c>
      <c r="AK108" t="s">
        <v>1</v>
      </c>
      <c r="AL108" t="s">
        <v>1</v>
      </c>
      <c r="AM108" t="s">
        <v>1</v>
      </c>
      <c r="AN108">
        <v>107</v>
      </c>
      <c r="AO108">
        <f t="shared" si="7"/>
        <v>107</v>
      </c>
      <c r="AP108">
        <f t="shared" si="5"/>
        <v>14</v>
      </c>
      <c r="AQ108">
        <f t="shared" si="6"/>
        <v>14</v>
      </c>
      <c r="AR108" s="26" t="s">
        <v>1355</v>
      </c>
      <c r="AS108" s="26" t="s">
        <v>1356</v>
      </c>
      <c r="AT108" t="s">
        <v>715</v>
      </c>
      <c r="AU108" t="s">
        <v>1</v>
      </c>
      <c r="AV108" t="s">
        <v>1</v>
      </c>
      <c r="AW108">
        <v>47.43</v>
      </c>
      <c r="AX108">
        <v>8.67</v>
      </c>
      <c r="AY108" t="s">
        <v>737</v>
      </c>
      <c r="BA108" s="3">
        <f>3*4</f>
        <v>12</v>
      </c>
      <c r="BB108" s="3"/>
      <c r="BC108" s="3"/>
      <c r="BD108" s="3"/>
      <c r="BE108" s="3"/>
      <c r="BF108">
        <v>1998</v>
      </c>
      <c r="BG108" s="24" t="s">
        <v>733</v>
      </c>
      <c r="BH108" s="24" t="s">
        <v>733</v>
      </c>
      <c r="BI108" s="24" t="s">
        <v>733</v>
      </c>
      <c r="BJ108" s="24" t="s">
        <v>732</v>
      </c>
      <c r="BK108" s="24" t="s">
        <v>733</v>
      </c>
      <c r="BL108" s="25" t="s">
        <v>733</v>
      </c>
      <c r="BM108" s="24" t="s">
        <v>733</v>
      </c>
      <c r="BN108" s="24" t="s">
        <v>732</v>
      </c>
      <c r="BO108" s="24" t="s">
        <v>733</v>
      </c>
      <c r="BP108" s="24" t="s">
        <v>733</v>
      </c>
      <c r="BQ108" s="24" t="s">
        <v>945</v>
      </c>
      <c r="BR108" s="24" t="s">
        <v>945</v>
      </c>
      <c r="BS108" s="25" t="s">
        <v>934</v>
      </c>
      <c r="BT108" s="24" t="s">
        <v>934</v>
      </c>
      <c r="BU108" s="24" t="s">
        <v>934</v>
      </c>
      <c r="BV108" s="24" t="s">
        <v>934</v>
      </c>
      <c r="BW108" s="24" t="s">
        <v>934</v>
      </c>
      <c r="BX108" s="24" t="s">
        <v>934</v>
      </c>
      <c r="BY108" s="25" t="s">
        <v>945</v>
      </c>
      <c r="BZ108" t="s">
        <v>62</v>
      </c>
      <c r="CB108" t="s">
        <v>113</v>
      </c>
      <c r="CC108" s="4">
        <f>811*10</f>
        <v>8110</v>
      </c>
      <c r="CD108" s="4"/>
      <c r="CE108" s="4"/>
      <c r="CF108" t="s">
        <v>793</v>
      </c>
      <c r="CG108">
        <v>100</v>
      </c>
      <c r="CH108" t="s">
        <v>805</v>
      </c>
      <c r="CI108" s="1">
        <v>1.1499999999999999</v>
      </c>
      <c r="CJ108" s="10" t="s">
        <v>1442</v>
      </c>
      <c r="CK108" t="s">
        <v>807</v>
      </c>
      <c r="CL108" s="4">
        <f>1814*10-8110</f>
        <v>10030</v>
      </c>
      <c r="CM108" t="s">
        <v>847</v>
      </c>
      <c r="CN108" s="4">
        <f>27.4*10</f>
        <v>274</v>
      </c>
      <c r="CO108" s="4"/>
      <c r="CP108" s="4" t="s">
        <v>1</v>
      </c>
      <c r="CQ108" s="4" t="s">
        <v>1</v>
      </c>
      <c r="CR108" s="4" t="s">
        <v>1</v>
      </c>
      <c r="CS108" s="4" t="s">
        <v>1</v>
      </c>
      <c r="CT108" s="4" t="s">
        <v>1</v>
      </c>
      <c r="CU108" s="4" t="s">
        <v>1</v>
      </c>
      <c r="CV108" t="s">
        <v>855</v>
      </c>
      <c r="CW108">
        <v>100</v>
      </c>
      <c r="CX108">
        <v>0</v>
      </c>
      <c r="CY108">
        <v>30</v>
      </c>
      <c r="CZ108" s="26" t="s">
        <v>1358</v>
      </c>
      <c r="DA108" t="s">
        <v>734</v>
      </c>
      <c r="DB108">
        <v>54</v>
      </c>
      <c r="DC108">
        <v>0</v>
      </c>
      <c r="DD108">
        <v>30</v>
      </c>
      <c r="DE108" s="26" t="s">
        <v>1358</v>
      </c>
      <c r="DF108" t="s">
        <v>735</v>
      </c>
      <c r="DG108">
        <v>29</v>
      </c>
      <c r="DH108">
        <v>0</v>
      </c>
      <c r="DI108">
        <v>30</v>
      </c>
      <c r="DJ108" s="26" t="s">
        <v>1358</v>
      </c>
      <c r="DK108" t="s">
        <v>736</v>
      </c>
      <c r="DL108">
        <v>17</v>
      </c>
      <c r="DM108">
        <v>0</v>
      </c>
      <c r="DN108">
        <v>30</v>
      </c>
      <c r="DO108" s="26" t="s">
        <v>1358</v>
      </c>
      <c r="DP108" t="s">
        <v>6</v>
      </c>
      <c r="DQ108" t="s">
        <v>813</v>
      </c>
      <c r="DR108">
        <v>7.6</v>
      </c>
      <c r="DS108">
        <v>0</v>
      </c>
      <c r="DT108">
        <v>30</v>
      </c>
      <c r="DU108" s="26" t="s">
        <v>1358</v>
      </c>
      <c r="EA108" t="s">
        <v>982</v>
      </c>
      <c r="EB108">
        <v>16.8</v>
      </c>
      <c r="EC108">
        <v>0</v>
      </c>
      <c r="ED108">
        <v>30</v>
      </c>
      <c r="EE108" s="26" t="s">
        <v>1358</v>
      </c>
      <c r="EF108" s="26"/>
      <c r="FZ108" t="s">
        <v>806</v>
      </c>
      <c r="GA108">
        <v>562.33333330000005</v>
      </c>
      <c r="GE108" s="26" t="s">
        <v>1358</v>
      </c>
      <c r="HA108" s="5" t="s">
        <v>1</v>
      </c>
      <c r="HB108" s="4" t="s">
        <v>1</v>
      </c>
      <c r="HC108" t="s">
        <v>1</v>
      </c>
      <c r="HD108" t="s">
        <v>1</v>
      </c>
      <c r="HE108" t="s">
        <v>1</v>
      </c>
      <c r="HF108" s="5" t="s">
        <v>1</v>
      </c>
      <c r="HG108" s="4" t="s">
        <v>1</v>
      </c>
      <c r="HH108" t="s">
        <v>1</v>
      </c>
      <c r="HI108" t="s">
        <v>1</v>
      </c>
      <c r="HJ108" t="s">
        <v>1</v>
      </c>
      <c r="HK108" t="s">
        <v>815</v>
      </c>
      <c r="HL108" s="4">
        <v>1.45</v>
      </c>
      <c r="HM108">
        <v>0</v>
      </c>
      <c r="HN108">
        <v>30</v>
      </c>
      <c r="HO108" t="s">
        <v>1450</v>
      </c>
      <c r="HP108" s="26" t="s">
        <v>1358</v>
      </c>
      <c r="HZ108" t="s">
        <v>966</v>
      </c>
      <c r="IA108">
        <v>270</v>
      </c>
      <c r="IB108" s="5" t="s">
        <v>1</v>
      </c>
      <c r="IC108" s="5"/>
      <c r="ID108" s="5"/>
      <c r="IE108" s="10" t="s">
        <v>1</v>
      </c>
      <c r="IF108" s="10" t="s">
        <v>1</v>
      </c>
      <c r="IG108" s="10"/>
      <c r="IH108" s="10"/>
      <c r="II108" s="10"/>
      <c r="IJ108" s="10"/>
      <c r="IK108" s="10"/>
      <c r="IL108" s="10"/>
      <c r="IM108" s="10"/>
      <c r="IN108" s="10"/>
      <c r="IO108" s="10"/>
      <c r="IP108" s="10"/>
      <c r="IQ108" s="10"/>
      <c r="IR108" s="10"/>
      <c r="IS108" t="s">
        <v>1</v>
      </c>
      <c r="IT108" t="s">
        <v>1</v>
      </c>
      <c r="IW108" t="s">
        <v>1</v>
      </c>
      <c r="IX108" t="s">
        <v>1</v>
      </c>
      <c r="IY108" t="s">
        <v>808</v>
      </c>
      <c r="IZ108">
        <v>250</v>
      </c>
      <c r="JA108" t="s">
        <v>1</v>
      </c>
      <c r="JB108" s="3" t="s">
        <v>1</v>
      </c>
      <c r="JC108" t="s">
        <v>1</v>
      </c>
      <c r="JD108" s="4" t="s">
        <v>1</v>
      </c>
      <c r="JE108" t="s">
        <v>1</v>
      </c>
      <c r="JF108" t="s">
        <v>1</v>
      </c>
      <c r="JR108" t="s">
        <v>1066</v>
      </c>
      <c r="JS108">
        <v>21.2</v>
      </c>
      <c r="JU108" t="s">
        <v>1</v>
      </c>
      <c r="JW108" t="s">
        <v>1</v>
      </c>
      <c r="JX108">
        <v>0</v>
      </c>
      <c r="JY108">
        <v>110.00000000000001</v>
      </c>
      <c r="JZ108" t="s">
        <v>796</v>
      </c>
      <c r="KA108" t="s">
        <v>114</v>
      </c>
      <c r="KB108" t="s">
        <v>738</v>
      </c>
      <c r="KC108" t="s">
        <v>1</v>
      </c>
      <c r="KD108" t="s">
        <v>1</v>
      </c>
      <c r="KE108" t="s">
        <v>1</v>
      </c>
      <c r="KF108" t="s">
        <v>1</v>
      </c>
      <c r="KG108" t="s">
        <v>1</v>
      </c>
      <c r="KH108" t="s">
        <v>1</v>
      </c>
      <c r="KI108" t="s">
        <v>1</v>
      </c>
      <c r="KJ108" t="s">
        <v>1</v>
      </c>
      <c r="KK108" t="s">
        <v>1</v>
      </c>
    </row>
    <row r="109" spans="1:297" x14ac:dyDescent="0.2">
      <c r="A109">
        <v>108</v>
      </c>
      <c r="B109" t="s">
        <v>705</v>
      </c>
      <c r="C109" t="s">
        <v>117</v>
      </c>
      <c r="D109" t="s">
        <v>116</v>
      </c>
      <c r="E109">
        <v>15</v>
      </c>
      <c r="F109" t="s">
        <v>731</v>
      </c>
      <c r="G109" t="s">
        <v>1</v>
      </c>
      <c r="H109" s="26" t="s">
        <v>1420</v>
      </c>
      <c r="I109" t="s">
        <v>1</v>
      </c>
      <c r="J109" t="s">
        <v>1</v>
      </c>
      <c r="K109" t="s">
        <v>1</v>
      </c>
      <c r="L109" t="s">
        <v>1</v>
      </c>
      <c r="M109" t="s">
        <v>1</v>
      </c>
      <c r="N109" t="s">
        <v>1</v>
      </c>
      <c r="O109" t="s">
        <v>1</v>
      </c>
      <c r="P109" t="s">
        <v>1</v>
      </c>
      <c r="Q109" t="s">
        <v>1</v>
      </c>
      <c r="R109" t="s">
        <v>1</v>
      </c>
      <c r="S109" t="s">
        <v>1</v>
      </c>
      <c r="T109" t="s">
        <v>1</v>
      </c>
      <c r="U109" t="s">
        <v>1</v>
      </c>
      <c r="V109" t="s">
        <v>1</v>
      </c>
      <c r="W109" t="s">
        <v>1</v>
      </c>
      <c r="X109" t="s">
        <v>1</v>
      </c>
      <c r="Y109" t="s">
        <v>1</v>
      </c>
      <c r="Z109" t="s">
        <v>1</v>
      </c>
      <c r="AA109" t="s">
        <v>1</v>
      </c>
      <c r="AB109" t="s">
        <v>1</v>
      </c>
      <c r="AC109" t="s">
        <v>1</v>
      </c>
      <c r="AD109" t="s">
        <v>1</v>
      </c>
      <c r="AE109" t="s">
        <v>1</v>
      </c>
      <c r="AF109" t="s">
        <v>1</v>
      </c>
      <c r="AG109" t="s">
        <v>1</v>
      </c>
      <c r="AH109" t="s">
        <v>1</v>
      </c>
      <c r="AI109" t="s">
        <v>1</v>
      </c>
      <c r="AJ109" t="s">
        <v>1</v>
      </c>
      <c r="AK109" t="s">
        <v>1</v>
      </c>
      <c r="AL109" t="s">
        <v>1</v>
      </c>
      <c r="AM109" t="s">
        <v>1</v>
      </c>
      <c r="AN109">
        <v>108</v>
      </c>
      <c r="AO109">
        <f t="shared" si="7"/>
        <v>108</v>
      </c>
      <c r="AP109">
        <f t="shared" si="5"/>
        <v>15</v>
      </c>
      <c r="AQ109">
        <f t="shared" si="6"/>
        <v>15</v>
      </c>
      <c r="AR109" s="26" t="s">
        <v>1355</v>
      </c>
      <c r="AS109" s="26" t="s">
        <v>1356</v>
      </c>
      <c r="AT109" t="s">
        <v>710</v>
      </c>
      <c r="AU109" t="s">
        <v>1</v>
      </c>
      <c r="AV109" t="s">
        <v>1</v>
      </c>
      <c r="AW109">
        <v>38.119999999999997</v>
      </c>
      <c r="AX109">
        <v>106.3</v>
      </c>
      <c r="AY109" t="s">
        <v>737</v>
      </c>
      <c r="BA109" s="3">
        <v>3</v>
      </c>
      <c r="BB109" s="3"/>
      <c r="BC109" s="3"/>
      <c r="BD109" s="3"/>
      <c r="BE109" s="3"/>
      <c r="BF109">
        <v>2011</v>
      </c>
      <c r="BG109" s="24" t="s">
        <v>732</v>
      </c>
      <c r="BH109" s="24" t="s">
        <v>733</v>
      </c>
      <c r="BI109" s="24" t="s">
        <v>733</v>
      </c>
      <c r="BJ109" s="24" t="s">
        <v>732</v>
      </c>
      <c r="BK109" s="24" t="s">
        <v>733</v>
      </c>
      <c r="BL109" s="25" t="s">
        <v>733</v>
      </c>
      <c r="BM109" s="24" t="s">
        <v>733</v>
      </c>
      <c r="BN109" s="24" t="s">
        <v>732</v>
      </c>
      <c r="BO109" s="24" t="s">
        <v>733</v>
      </c>
      <c r="BP109" s="24" t="s">
        <v>733</v>
      </c>
      <c r="BQ109" s="24" t="s">
        <v>945</v>
      </c>
      <c r="BR109" s="24" t="s">
        <v>945</v>
      </c>
      <c r="BS109" s="25" t="s">
        <v>934</v>
      </c>
      <c r="BT109" s="24" t="s">
        <v>934</v>
      </c>
      <c r="BU109" s="24" t="s">
        <v>934</v>
      </c>
      <c r="BV109" s="24" t="s">
        <v>934</v>
      </c>
      <c r="BW109" s="24" t="s">
        <v>934</v>
      </c>
      <c r="BX109" s="24" t="s">
        <v>934</v>
      </c>
      <c r="BY109" s="25" t="s">
        <v>945</v>
      </c>
      <c r="BZ109" t="s">
        <v>1410</v>
      </c>
      <c r="CB109" t="s">
        <v>118</v>
      </c>
      <c r="CC109" s="14">
        <f>AVERAGE(3923,3387)</f>
        <v>3655</v>
      </c>
      <c r="CD109" s="14"/>
      <c r="CE109" s="14"/>
      <c r="CF109" t="s">
        <v>793</v>
      </c>
      <c r="CG109">
        <v>100</v>
      </c>
      <c r="CH109" t="s">
        <v>805</v>
      </c>
      <c r="CI109" s="1">
        <v>0.5</v>
      </c>
      <c r="CJ109" s="10" t="s">
        <v>1442</v>
      </c>
      <c r="CK109" s="9" t="s">
        <v>1</v>
      </c>
      <c r="CL109" s="4" t="s">
        <v>1</v>
      </c>
      <c r="CM109" t="s">
        <v>847</v>
      </c>
      <c r="CN109" s="4">
        <f>AVERAGE(65.2,53.6)</f>
        <v>59.400000000000006</v>
      </c>
      <c r="CO109" s="4"/>
      <c r="CP109" s="4" t="s">
        <v>1</v>
      </c>
      <c r="CQ109" s="4" t="s">
        <v>1</v>
      </c>
      <c r="CR109" s="4" t="s">
        <v>1</v>
      </c>
      <c r="CS109" s="4" t="s">
        <v>1</v>
      </c>
      <c r="CT109" s="4" t="s">
        <v>1</v>
      </c>
      <c r="CU109" s="4" t="s">
        <v>1</v>
      </c>
      <c r="CV109" s="37" t="s">
        <v>1068</v>
      </c>
      <c r="CW109">
        <v>100</v>
      </c>
      <c r="CX109">
        <v>0</v>
      </c>
      <c r="CY109">
        <v>20</v>
      </c>
      <c r="CZ109" s="26" t="s">
        <v>1358</v>
      </c>
      <c r="DA109" t="s">
        <v>734</v>
      </c>
      <c r="DB109">
        <v>28</v>
      </c>
      <c r="DC109">
        <v>0</v>
      </c>
      <c r="DD109">
        <v>20</v>
      </c>
      <c r="DE109" s="26" t="s">
        <v>1358</v>
      </c>
      <c r="DF109" t="s">
        <v>735</v>
      </c>
      <c r="DG109">
        <v>53.8</v>
      </c>
      <c r="DH109">
        <v>0</v>
      </c>
      <c r="DI109">
        <v>20</v>
      </c>
      <c r="DJ109" s="26" t="s">
        <v>1358</v>
      </c>
      <c r="DK109" t="s">
        <v>736</v>
      </c>
      <c r="DL109">
        <v>18.2</v>
      </c>
      <c r="DM109">
        <v>0</v>
      </c>
      <c r="DN109">
        <v>20</v>
      </c>
      <c r="DO109" s="26" t="s">
        <v>1358</v>
      </c>
      <c r="DP109" t="s">
        <v>1</v>
      </c>
      <c r="DQ109" t="s">
        <v>1</v>
      </c>
      <c r="DR109" t="s">
        <v>1</v>
      </c>
      <c r="DS109" t="s">
        <v>1</v>
      </c>
      <c r="DT109" t="s">
        <v>1</v>
      </c>
      <c r="DU109" t="s">
        <v>1</v>
      </c>
      <c r="EA109" t="s">
        <v>982</v>
      </c>
      <c r="EB109">
        <v>8.8000000000000007</v>
      </c>
      <c r="EC109">
        <v>0</v>
      </c>
      <c r="ED109">
        <v>20</v>
      </c>
      <c r="EE109" s="26" t="s">
        <v>1358</v>
      </c>
      <c r="EF109" s="26"/>
      <c r="FZ109" t="s">
        <v>806</v>
      </c>
      <c r="GA109">
        <v>151</v>
      </c>
      <c r="GE109" s="26" t="s">
        <v>1358</v>
      </c>
      <c r="HA109" s="5" t="s">
        <v>1</v>
      </c>
      <c r="HB109" s="4" t="s">
        <v>1</v>
      </c>
      <c r="HC109" t="s">
        <v>1</v>
      </c>
      <c r="HD109" t="s">
        <v>1</v>
      </c>
      <c r="HE109" t="s">
        <v>1</v>
      </c>
      <c r="HF109" s="5" t="s">
        <v>1063</v>
      </c>
      <c r="HG109" s="4">
        <v>1.02</v>
      </c>
      <c r="HH109">
        <v>0</v>
      </c>
      <c r="HI109">
        <v>20</v>
      </c>
      <c r="HJ109" s="26" t="s">
        <v>1358</v>
      </c>
      <c r="HK109" t="s">
        <v>815</v>
      </c>
      <c r="HL109">
        <v>1.47</v>
      </c>
      <c r="HM109">
        <v>0</v>
      </c>
      <c r="HN109">
        <v>20</v>
      </c>
      <c r="HO109" t="s">
        <v>1</v>
      </c>
      <c r="HP109" s="26" t="s">
        <v>1358</v>
      </c>
      <c r="HZ109" t="s">
        <v>1</v>
      </c>
      <c r="IA109" t="s">
        <v>1</v>
      </c>
      <c r="IB109" s="10" t="s">
        <v>1</v>
      </c>
      <c r="IC109" s="10"/>
      <c r="ID109" s="10"/>
      <c r="IE109" s="10" t="s">
        <v>1</v>
      </c>
      <c r="IF109" s="10" t="s">
        <v>1</v>
      </c>
      <c r="IG109" s="5" t="s">
        <v>1310</v>
      </c>
      <c r="IH109" s="10">
        <v>90</v>
      </c>
      <c r="II109" s="10" t="s">
        <v>1</v>
      </c>
      <c r="IJ109" s="10" t="s">
        <v>1</v>
      </c>
      <c r="IK109" s="5" t="s">
        <v>1311</v>
      </c>
      <c r="IL109" s="10">
        <v>90</v>
      </c>
      <c r="IM109" s="10" t="s">
        <v>1</v>
      </c>
      <c r="IN109" s="10" t="s">
        <v>1</v>
      </c>
      <c r="IO109" s="10" t="s">
        <v>1</v>
      </c>
      <c r="IP109" s="10" t="s">
        <v>1</v>
      </c>
      <c r="IQ109" s="10" t="s">
        <v>1</v>
      </c>
      <c r="IR109" s="10" t="s">
        <v>1</v>
      </c>
      <c r="IS109" t="s">
        <v>1</v>
      </c>
      <c r="IT109" t="s">
        <v>1</v>
      </c>
      <c r="IW109" t="s">
        <v>1</v>
      </c>
      <c r="IX109" t="s">
        <v>1</v>
      </c>
      <c r="IY109" t="s">
        <v>808</v>
      </c>
      <c r="IZ109">
        <v>12595</v>
      </c>
      <c r="JA109" t="s">
        <v>1</v>
      </c>
      <c r="JB109" s="3" t="s">
        <v>1</v>
      </c>
      <c r="JC109" t="s">
        <v>1</v>
      </c>
      <c r="JD109" s="4" t="s">
        <v>1</v>
      </c>
      <c r="JE109" t="s">
        <v>810</v>
      </c>
      <c r="JF109">
        <v>100</v>
      </c>
      <c r="JR109" t="s">
        <v>1066</v>
      </c>
      <c r="JS109">
        <v>35.1</v>
      </c>
      <c r="JU109" t="s">
        <v>1</v>
      </c>
      <c r="JW109" t="s">
        <v>1</v>
      </c>
      <c r="JX109">
        <v>0</v>
      </c>
      <c r="JY109">
        <v>120</v>
      </c>
      <c r="JZ109" t="s">
        <v>796</v>
      </c>
      <c r="KA109" t="s">
        <v>16</v>
      </c>
      <c r="KB109" t="s">
        <v>738</v>
      </c>
      <c r="KC109" t="s">
        <v>1067</v>
      </c>
      <c r="KD109" s="28">
        <f>AVERAGE(1.38,0.87)</f>
        <v>1.125</v>
      </c>
      <c r="KE109" s="11" t="s">
        <v>1</v>
      </c>
      <c r="KF109" s="11" t="s">
        <v>1</v>
      </c>
      <c r="KG109">
        <v>0</v>
      </c>
      <c r="KH109">
        <v>120</v>
      </c>
      <c r="KI109" t="s">
        <v>796</v>
      </c>
      <c r="KJ109" t="s">
        <v>16</v>
      </c>
      <c r="KK109" t="s">
        <v>738</v>
      </c>
    </row>
    <row r="110" spans="1:297" x14ac:dyDescent="0.2">
      <c r="A110">
        <v>109</v>
      </c>
      <c r="B110" t="s">
        <v>705</v>
      </c>
      <c r="C110" t="s">
        <v>119</v>
      </c>
      <c r="D110" t="s">
        <v>116</v>
      </c>
      <c r="E110">
        <v>15</v>
      </c>
      <c r="F110" t="s">
        <v>731</v>
      </c>
      <c r="G110" t="s">
        <v>1</v>
      </c>
      <c r="H110" s="26" t="s">
        <v>1420</v>
      </c>
      <c r="I110" t="s">
        <v>1</v>
      </c>
      <c r="J110" t="s">
        <v>1</v>
      </c>
      <c r="K110" t="s">
        <v>1</v>
      </c>
      <c r="L110" t="s">
        <v>1</v>
      </c>
      <c r="M110" t="s">
        <v>1</v>
      </c>
      <c r="N110" t="s">
        <v>1</v>
      </c>
      <c r="O110" t="s">
        <v>1</v>
      </c>
      <c r="P110" t="s">
        <v>1</v>
      </c>
      <c r="Q110" t="s">
        <v>1</v>
      </c>
      <c r="R110" t="s">
        <v>1</v>
      </c>
      <c r="S110" t="s">
        <v>1</v>
      </c>
      <c r="T110" t="s">
        <v>1</v>
      </c>
      <c r="U110" t="s">
        <v>1</v>
      </c>
      <c r="V110" t="s">
        <v>1</v>
      </c>
      <c r="W110" t="s">
        <v>1</v>
      </c>
      <c r="X110" t="s">
        <v>1</v>
      </c>
      <c r="Y110" t="s">
        <v>1</v>
      </c>
      <c r="Z110" t="s">
        <v>1</v>
      </c>
      <c r="AA110" t="s">
        <v>1</v>
      </c>
      <c r="AB110" t="s">
        <v>1</v>
      </c>
      <c r="AC110" t="s">
        <v>1</v>
      </c>
      <c r="AD110" t="s">
        <v>1</v>
      </c>
      <c r="AE110" t="s">
        <v>1</v>
      </c>
      <c r="AF110" t="s">
        <v>1</v>
      </c>
      <c r="AG110" t="s">
        <v>1</v>
      </c>
      <c r="AH110" t="s">
        <v>1</v>
      </c>
      <c r="AI110" t="s">
        <v>1</v>
      </c>
      <c r="AJ110" t="s">
        <v>1</v>
      </c>
      <c r="AK110" t="s">
        <v>1</v>
      </c>
      <c r="AL110" t="s">
        <v>1</v>
      </c>
      <c r="AM110" t="s">
        <v>1</v>
      </c>
      <c r="AN110">
        <v>109</v>
      </c>
      <c r="AO110">
        <f t="shared" si="7"/>
        <v>109</v>
      </c>
      <c r="AP110">
        <f t="shared" si="5"/>
        <v>15</v>
      </c>
      <c r="AQ110">
        <f t="shared" si="6"/>
        <v>15</v>
      </c>
      <c r="AR110" s="26" t="s">
        <v>1355</v>
      </c>
      <c r="AS110" s="26" t="s">
        <v>1356</v>
      </c>
      <c r="AT110" t="s">
        <v>710</v>
      </c>
      <c r="AU110" t="s">
        <v>1</v>
      </c>
      <c r="AV110" t="s">
        <v>1</v>
      </c>
      <c r="AW110">
        <v>38.119999999999997</v>
      </c>
      <c r="AX110">
        <v>106.3</v>
      </c>
      <c r="AY110" t="s">
        <v>737</v>
      </c>
      <c r="BA110" s="3">
        <v>3</v>
      </c>
      <c r="BB110" s="3"/>
      <c r="BC110" s="3"/>
      <c r="BD110" s="3"/>
      <c r="BE110" s="3"/>
      <c r="BF110">
        <v>2011</v>
      </c>
      <c r="BG110" s="24" t="s">
        <v>732</v>
      </c>
      <c r="BH110" s="24" t="s">
        <v>733</v>
      </c>
      <c r="BI110" s="24" t="s">
        <v>733</v>
      </c>
      <c r="BJ110" s="24" t="s">
        <v>732</v>
      </c>
      <c r="BK110" s="24" t="s">
        <v>733</v>
      </c>
      <c r="BL110" s="25" t="s">
        <v>733</v>
      </c>
      <c r="BM110" s="24" t="s">
        <v>733</v>
      </c>
      <c r="BN110" s="24" t="s">
        <v>732</v>
      </c>
      <c r="BO110" s="24" t="s">
        <v>733</v>
      </c>
      <c r="BP110" s="24" t="s">
        <v>733</v>
      </c>
      <c r="BQ110" s="24" t="s">
        <v>945</v>
      </c>
      <c r="BR110" s="24" t="s">
        <v>945</v>
      </c>
      <c r="BS110" s="25" t="s">
        <v>934</v>
      </c>
      <c r="BT110" s="24" t="s">
        <v>934</v>
      </c>
      <c r="BU110" s="24" t="s">
        <v>934</v>
      </c>
      <c r="BV110" s="24" t="s">
        <v>934</v>
      </c>
      <c r="BW110" s="24" t="s">
        <v>934</v>
      </c>
      <c r="BX110" s="24" t="s">
        <v>934</v>
      </c>
      <c r="BY110" s="25" t="s">
        <v>945</v>
      </c>
      <c r="BZ110" t="s">
        <v>1410</v>
      </c>
      <c r="CB110" t="s">
        <v>118</v>
      </c>
      <c r="CC110" s="14">
        <f>AVERAGE(7007,5834)</f>
        <v>6420.5</v>
      </c>
      <c r="CD110" s="14"/>
      <c r="CE110" s="14"/>
      <c r="CF110" t="s">
        <v>793</v>
      </c>
      <c r="CG110">
        <v>100</v>
      </c>
      <c r="CH110" t="s">
        <v>805</v>
      </c>
      <c r="CI110" s="1">
        <v>0.5</v>
      </c>
      <c r="CJ110" s="10" t="s">
        <v>1442</v>
      </c>
      <c r="CK110" s="9" t="s">
        <v>1</v>
      </c>
      <c r="CL110" s="4" t="s">
        <v>1</v>
      </c>
      <c r="CM110" t="s">
        <v>847</v>
      </c>
      <c r="CN110" s="4">
        <f>AVERAGE(114.6,99.2)</f>
        <v>106.9</v>
      </c>
      <c r="CO110" s="4"/>
      <c r="CP110" s="4" t="s">
        <v>1</v>
      </c>
      <c r="CQ110" s="4" t="s">
        <v>1</v>
      </c>
      <c r="CR110" s="4" t="s">
        <v>1</v>
      </c>
      <c r="CS110" s="4" t="s">
        <v>1</v>
      </c>
      <c r="CT110" s="4" t="s">
        <v>1</v>
      </c>
      <c r="CU110" s="4" t="s">
        <v>1</v>
      </c>
      <c r="CV110" s="37" t="s">
        <v>1068</v>
      </c>
      <c r="CW110">
        <v>100</v>
      </c>
      <c r="CX110">
        <v>0</v>
      </c>
      <c r="CY110">
        <v>20</v>
      </c>
      <c r="CZ110" s="26" t="s">
        <v>1358</v>
      </c>
      <c r="DA110" t="s">
        <v>734</v>
      </c>
      <c r="DB110">
        <v>28</v>
      </c>
      <c r="DC110">
        <v>0</v>
      </c>
      <c r="DD110">
        <v>20</v>
      </c>
      <c r="DE110" s="26" t="s">
        <v>1358</v>
      </c>
      <c r="DF110" t="s">
        <v>735</v>
      </c>
      <c r="DG110">
        <v>53.8</v>
      </c>
      <c r="DH110">
        <v>0</v>
      </c>
      <c r="DI110">
        <v>20</v>
      </c>
      <c r="DJ110" s="26" t="s">
        <v>1358</v>
      </c>
      <c r="DK110" t="s">
        <v>736</v>
      </c>
      <c r="DL110">
        <v>18.2</v>
      </c>
      <c r="DM110">
        <v>0</v>
      </c>
      <c r="DN110">
        <v>20</v>
      </c>
      <c r="DO110" s="26" t="s">
        <v>1358</v>
      </c>
      <c r="DP110" t="s">
        <v>1</v>
      </c>
      <c r="DQ110" t="s">
        <v>1</v>
      </c>
      <c r="DR110" t="s">
        <v>1</v>
      </c>
      <c r="DS110" t="s">
        <v>1</v>
      </c>
      <c r="DT110" t="s">
        <v>1</v>
      </c>
      <c r="DU110" t="s">
        <v>1</v>
      </c>
      <c r="EA110" t="s">
        <v>982</v>
      </c>
      <c r="EB110">
        <v>8.8000000000000007</v>
      </c>
      <c r="EC110">
        <v>0</v>
      </c>
      <c r="ED110">
        <v>20</v>
      </c>
      <c r="EE110" s="26" t="s">
        <v>1358</v>
      </c>
      <c r="EF110" s="26"/>
      <c r="FZ110" t="s">
        <v>806</v>
      </c>
      <c r="GA110">
        <v>151</v>
      </c>
      <c r="GE110" s="26" t="s">
        <v>1358</v>
      </c>
      <c r="HA110" s="5" t="s">
        <v>1</v>
      </c>
      <c r="HB110" s="4" t="s">
        <v>1</v>
      </c>
      <c r="HC110" t="s">
        <v>1</v>
      </c>
      <c r="HD110" t="s">
        <v>1</v>
      </c>
      <c r="HE110" t="s">
        <v>1</v>
      </c>
      <c r="HF110" s="5" t="s">
        <v>1063</v>
      </c>
      <c r="HG110" s="4">
        <v>1.02</v>
      </c>
      <c r="HH110">
        <v>0</v>
      </c>
      <c r="HI110">
        <v>20</v>
      </c>
      <c r="HJ110" s="26" t="s">
        <v>1358</v>
      </c>
      <c r="HK110" t="s">
        <v>815</v>
      </c>
      <c r="HL110">
        <v>1.47</v>
      </c>
      <c r="HM110">
        <v>0</v>
      </c>
      <c r="HN110">
        <v>20</v>
      </c>
      <c r="HO110" t="s">
        <v>1</v>
      </c>
      <c r="HP110" s="26" t="s">
        <v>1358</v>
      </c>
      <c r="HZ110" t="s">
        <v>1295</v>
      </c>
      <c r="IA110">
        <v>80</v>
      </c>
      <c r="IB110" s="10" t="s">
        <v>1</v>
      </c>
      <c r="IC110" s="10"/>
      <c r="ID110" s="10"/>
      <c r="IE110" s="5" t="s">
        <v>1312</v>
      </c>
      <c r="IF110" s="5" t="b">
        <v>1</v>
      </c>
      <c r="IG110" s="5" t="s">
        <v>1310</v>
      </c>
      <c r="IH110" s="10">
        <v>90</v>
      </c>
      <c r="II110" s="10" t="s">
        <v>1</v>
      </c>
      <c r="IJ110" s="10" t="s">
        <v>1</v>
      </c>
      <c r="IK110" s="5" t="s">
        <v>1311</v>
      </c>
      <c r="IL110" s="10">
        <v>90</v>
      </c>
      <c r="IM110" s="10" t="s">
        <v>1</v>
      </c>
      <c r="IN110" s="10" t="s">
        <v>1</v>
      </c>
      <c r="IO110" s="10" t="s">
        <v>1</v>
      </c>
      <c r="IP110" s="10" t="s">
        <v>1</v>
      </c>
      <c r="IQ110" s="10" t="s">
        <v>1</v>
      </c>
      <c r="IR110" s="10" t="s">
        <v>1</v>
      </c>
      <c r="IS110" t="s">
        <v>1</v>
      </c>
      <c r="IT110" t="s">
        <v>1</v>
      </c>
      <c r="IW110" t="s">
        <v>1</v>
      </c>
      <c r="IX110" t="s">
        <v>1</v>
      </c>
      <c r="IY110" t="s">
        <v>808</v>
      </c>
      <c r="IZ110">
        <v>12595</v>
      </c>
      <c r="JA110" t="s">
        <v>1</v>
      </c>
      <c r="JB110" s="3" t="s">
        <v>1</v>
      </c>
      <c r="JC110" t="s">
        <v>1</v>
      </c>
      <c r="JD110" s="4" t="s">
        <v>1</v>
      </c>
      <c r="JE110" t="s">
        <v>810</v>
      </c>
      <c r="JF110">
        <v>100</v>
      </c>
      <c r="JR110" t="s">
        <v>1066</v>
      </c>
      <c r="JS110">
        <v>51</v>
      </c>
      <c r="JU110" t="s">
        <v>1</v>
      </c>
      <c r="JW110" t="s">
        <v>1</v>
      </c>
      <c r="JX110">
        <v>0</v>
      </c>
      <c r="JY110">
        <v>120</v>
      </c>
      <c r="JZ110" t="s">
        <v>796</v>
      </c>
      <c r="KA110" t="s">
        <v>16</v>
      </c>
      <c r="KB110" t="s">
        <v>738</v>
      </c>
      <c r="KC110" t="s">
        <v>1067</v>
      </c>
      <c r="KD110" s="28">
        <f>AVERAGE(3.35,3.06)</f>
        <v>3.2050000000000001</v>
      </c>
      <c r="KE110" s="11" t="s">
        <v>1</v>
      </c>
      <c r="KF110" s="11" t="s">
        <v>1</v>
      </c>
      <c r="KG110">
        <v>0</v>
      </c>
      <c r="KH110">
        <v>120</v>
      </c>
      <c r="KI110" t="s">
        <v>796</v>
      </c>
      <c r="KJ110" t="s">
        <v>16</v>
      </c>
      <c r="KK110" t="s">
        <v>738</v>
      </c>
    </row>
    <row r="111" spans="1:297" x14ac:dyDescent="0.2">
      <c r="A111">
        <v>110</v>
      </c>
      <c r="B111" t="s">
        <v>705</v>
      </c>
      <c r="C111" t="s">
        <v>120</v>
      </c>
      <c r="D111" t="s">
        <v>116</v>
      </c>
      <c r="E111">
        <v>15</v>
      </c>
      <c r="F111" t="s">
        <v>731</v>
      </c>
      <c r="G111" t="s">
        <v>1</v>
      </c>
      <c r="H111" s="26" t="s">
        <v>1420</v>
      </c>
      <c r="I111" t="s">
        <v>1</v>
      </c>
      <c r="J111" t="s">
        <v>1</v>
      </c>
      <c r="K111" t="s">
        <v>1</v>
      </c>
      <c r="L111" t="s">
        <v>1</v>
      </c>
      <c r="M111" t="s">
        <v>1</v>
      </c>
      <c r="N111" t="s">
        <v>1</v>
      </c>
      <c r="O111" t="s">
        <v>1</v>
      </c>
      <c r="P111" t="s">
        <v>1</v>
      </c>
      <c r="Q111" t="s">
        <v>1</v>
      </c>
      <c r="R111" t="s">
        <v>1</v>
      </c>
      <c r="S111" t="s">
        <v>1</v>
      </c>
      <c r="T111" t="s">
        <v>1</v>
      </c>
      <c r="U111" t="s">
        <v>1</v>
      </c>
      <c r="V111" t="s">
        <v>1</v>
      </c>
      <c r="W111" t="s">
        <v>1</v>
      </c>
      <c r="X111" t="s">
        <v>1</v>
      </c>
      <c r="Y111" t="s">
        <v>1</v>
      </c>
      <c r="Z111" t="s">
        <v>1</v>
      </c>
      <c r="AA111" t="s">
        <v>1</v>
      </c>
      <c r="AB111" t="s">
        <v>1</v>
      </c>
      <c r="AC111" t="s">
        <v>1</v>
      </c>
      <c r="AD111" t="s">
        <v>1</v>
      </c>
      <c r="AE111" t="s">
        <v>1</v>
      </c>
      <c r="AF111" t="s">
        <v>1</v>
      </c>
      <c r="AG111" t="s">
        <v>1</v>
      </c>
      <c r="AH111" t="s">
        <v>1</v>
      </c>
      <c r="AI111" t="s">
        <v>1</v>
      </c>
      <c r="AJ111" t="s">
        <v>1</v>
      </c>
      <c r="AK111" t="s">
        <v>1</v>
      </c>
      <c r="AL111" t="s">
        <v>1</v>
      </c>
      <c r="AM111" t="s">
        <v>1</v>
      </c>
      <c r="AN111">
        <v>110</v>
      </c>
      <c r="AO111">
        <f t="shared" si="7"/>
        <v>110</v>
      </c>
      <c r="AP111">
        <f t="shared" si="5"/>
        <v>15</v>
      </c>
      <c r="AQ111">
        <f t="shared" si="6"/>
        <v>15</v>
      </c>
      <c r="AR111" s="26" t="s">
        <v>1355</v>
      </c>
      <c r="AS111" s="26" t="s">
        <v>1356</v>
      </c>
      <c r="AT111" t="s">
        <v>710</v>
      </c>
      <c r="AU111" t="s">
        <v>1</v>
      </c>
      <c r="AV111" t="s">
        <v>1</v>
      </c>
      <c r="AW111">
        <v>38.119999999999997</v>
      </c>
      <c r="AX111">
        <v>106.3</v>
      </c>
      <c r="AY111" t="s">
        <v>737</v>
      </c>
      <c r="BA111" s="3">
        <v>3</v>
      </c>
      <c r="BB111" s="3"/>
      <c r="BC111" s="3"/>
      <c r="BD111" s="3"/>
      <c r="BE111" s="3"/>
      <c r="BF111">
        <v>2011</v>
      </c>
      <c r="BG111" s="24" t="s">
        <v>732</v>
      </c>
      <c r="BH111" s="24" t="s">
        <v>733</v>
      </c>
      <c r="BI111" s="24" t="s">
        <v>733</v>
      </c>
      <c r="BJ111" s="24" t="s">
        <v>732</v>
      </c>
      <c r="BK111" s="24" t="s">
        <v>733</v>
      </c>
      <c r="BL111" s="25" t="s">
        <v>733</v>
      </c>
      <c r="BM111" s="24" t="s">
        <v>733</v>
      </c>
      <c r="BN111" s="24" t="s">
        <v>732</v>
      </c>
      <c r="BO111" s="24" t="s">
        <v>733</v>
      </c>
      <c r="BP111" s="24" t="s">
        <v>733</v>
      </c>
      <c r="BQ111" s="24" t="s">
        <v>945</v>
      </c>
      <c r="BR111" s="24" t="s">
        <v>945</v>
      </c>
      <c r="BS111" s="25" t="s">
        <v>934</v>
      </c>
      <c r="BT111" s="24" t="s">
        <v>934</v>
      </c>
      <c r="BU111" s="24" t="s">
        <v>934</v>
      </c>
      <c r="BV111" s="24" t="s">
        <v>934</v>
      </c>
      <c r="BW111" s="24" t="s">
        <v>934</v>
      </c>
      <c r="BX111" s="24" t="s">
        <v>934</v>
      </c>
      <c r="BY111" s="25" t="s">
        <v>945</v>
      </c>
      <c r="BZ111" t="s">
        <v>1410</v>
      </c>
      <c r="CB111" t="s">
        <v>118</v>
      </c>
      <c r="CC111" s="14">
        <f>AVERAGE(10451,6984)</f>
        <v>8717.5</v>
      </c>
      <c r="CD111" s="14"/>
      <c r="CE111" s="14"/>
      <c r="CF111" t="s">
        <v>793</v>
      </c>
      <c r="CG111">
        <v>100</v>
      </c>
      <c r="CH111" t="s">
        <v>805</v>
      </c>
      <c r="CI111" s="1">
        <v>0.5</v>
      </c>
      <c r="CJ111" s="10" t="s">
        <v>1442</v>
      </c>
      <c r="CK111" s="9" t="s">
        <v>1</v>
      </c>
      <c r="CL111" s="4" t="s">
        <v>1</v>
      </c>
      <c r="CM111" t="s">
        <v>847</v>
      </c>
      <c r="CN111" s="4">
        <f>AVERAGE(132.7,115.3)</f>
        <v>124</v>
      </c>
      <c r="CO111" s="4"/>
      <c r="CP111" s="4" t="s">
        <v>1</v>
      </c>
      <c r="CQ111" s="4" t="s">
        <v>1</v>
      </c>
      <c r="CR111" s="4" t="s">
        <v>1</v>
      </c>
      <c r="CS111" s="4" t="s">
        <v>1</v>
      </c>
      <c r="CT111" s="4" t="s">
        <v>1</v>
      </c>
      <c r="CU111" s="4" t="s">
        <v>1</v>
      </c>
      <c r="CV111" s="37" t="s">
        <v>1068</v>
      </c>
      <c r="CW111">
        <v>100</v>
      </c>
      <c r="CX111">
        <v>0</v>
      </c>
      <c r="CY111">
        <v>20</v>
      </c>
      <c r="CZ111" s="26" t="s">
        <v>1358</v>
      </c>
      <c r="DA111" t="s">
        <v>734</v>
      </c>
      <c r="DB111">
        <v>28</v>
      </c>
      <c r="DC111">
        <v>0</v>
      </c>
      <c r="DD111">
        <v>20</v>
      </c>
      <c r="DE111" s="26" t="s">
        <v>1358</v>
      </c>
      <c r="DF111" t="s">
        <v>735</v>
      </c>
      <c r="DG111">
        <v>53.8</v>
      </c>
      <c r="DH111">
        <v>0</v>
      </c>
      <c r="DI111">
        <v>20</v>
      </c>
      <c r="DJ111" s="26" t="s">
        <v>1358</v>
      </c>
      <c r="DK111" t="s">
        <v>736</v>
      </c>
      <c r="DL111">
        <v>18.2</v>
      </c>
      <c r="DM111">
        <v>0</v>
      </c>
      <c r="DN111">
        <v>20</v>
      </c>
      <c r="DO111" s="26" t="s">
        <v>1358</v>
      </c>
      <c r="DP111" t="s">
        <v>1</v>
      </c>
      <c r="DQ111" t="s">
        <v>1</v>
      </c>
      <c r="DR111" t="s">
        <v>1</v>
      </c>
      <c r="DS111" t="s">
        <v>1</v>
      </c>
      <c r="DT111" t="s">
        <v>1</v>
      </c>
      <c r="DU111" t="s">
        <v>1</v>
      </c>
      <c r="EA111" t="s">
        <v>982</v>
      </c>
      <c r="EB111">
        <v>8.8000000000000007</v>
      </c>
      <c r="EC111">
        <v>0</v>
      </c>
      <c r="ED111">
        <v>20</v>
      </c>
      <c r="EE111" s="26" t="s">
        <v>1358</v>
      </c>
      <c r="EF111" s="26"/>
      <c r="FZ111" t="s">
        <v>806</v>
      </c>
      <c r="GA111">
        <v>151</v>
      </c>
      <c r="GE111" s="26" t="s">
        <v>1358</v>
      </c>
      <c r="HA111" s="5" t="s">
        <v>1</v>
      </c>
      <c r="HB111" s="4" t="s">
        <v>1</v>
      </c>
      <c r="HC111" t="s">
        <v>1</v>
      </c>
      <c r="HD111" t="s">
        <v>1</v>
      </c>
      <c r="HE111" t="s">
        <v>1</v>
      </c>
      <c r="HF111" s="5" t="s">
        <v>1063</v>
      </c>
      <c r="HG111" s="4">
        <v>1.02</v>
      </c>
      <c r="HH111">
        <v>0</v>
      </c>
      <c r="HI111">
        <v>20</v>
      </c>
      <c r="HJ111" s="26" t="s">
        <v>1358</v>
      </c>
      <c r="HK111" t="s">
        <v>815</v>
      </c>
      <c r="HL111">
        <v>1.47</v>
      </c>
      <c r="HM111">
        <v>0</v>
      </c>
      <c r="HN111">
        <v>20</v>
      </c>
      <c r="HO111" t="s">
        <v>1</v>
      </c>
      <c r="HP111" s="26" t="s">
        <v>1358</v>
      </c>
      <c r="HZ111" t="s">
        <v>1295</v>
      </c>
      <c r="IA111">
        <v>120</v>
      </c>
      <c r="IB111" s="10" t="s">
        <v>1</v>
      </c>
      <c r="IC111" s="10"/>
      <c r="ID111" s="10"/>
      <c r="IE111" s="5" t="s">
        <v>1312</v>
      </c>
      <c r="IF111" s="5" t="b">
        <v>1</v>
      </c>
      <c r="IG111" s="5" t="s">
        <v>1310</v>
      </c>
      <c r="IH111" s="10">
        <v>90</v>
      </c>
      <c r="II111" s="10" t="s">
        <v>1</v>
      </c>
      <c r="IJ111" s="10" t="s">
        <v>1</v>
      </c>
      <c r="IK111" s="5" t="s">
        <v>1311</v>
      </c>
      <c r="IL111" s="10">
        <v>90</v>
      </c>
      <c r="IM111" s="10" t="s">
        <v>1</v>
      </c>
      <c r="IN111" s="10" t="s">
        <v>1</v>
      </c>
      <c r="IO111" s="10" t="s">
        <v>1</v>
      </c>
      <c r="IP111" s="10" t="s">
        <v>1</v>
      </c>
      <c r="IQ111" s="10" t="s">
        <v>1</v>
      </c>
      <c r="IR111" s="10" t="s">
        <v>1</v>
      </c>
      <c r="IS111" t="s">
        <v>1</v>
      </c>
      <c r="IT111" t="s">
        <v>1</v>
      </c>
      <c r="IW111" t="s">
        <v>1</v>
      </c>
      <c r="IX111" t="s">
        <v>1</v>
      </c>
      <c r="IY111" t="s">
        <v>808</v>
      </c>
      <c r="IZ111">
        <v>12595</v>
      </c>
      <c r="JA111" t="s">
        <v>1</v>
      </c>
      <c r="JB111" s="3" t="s">
        <v>1</v>
      </c>
      <c r="JC111" t="s">
        <v>1</v>
      </c>
      <c r="JD111" s="4" t="s">
        <v>1</v>
      </c>
      <c r="JE111" t="s">
        <v>810</v>
      </c>
      <c r="JF111">
        <v>100</v>
      </c>
      <c r="JR111" t="s">
        <v>1066</v>
      </c>
      <c r="JS111">
        <v>74</v>
      </c>
      <c r="JU111" t="s">
        <v>1</v>
      </c>
      <c r="JW111" t="s">
        <v>1</v>
      </c>
      <c r="JX111">
        <v>0</v>
      </c>
      <c r="JY111">
        <v>120</v>
      </c>
      <c r="JZ111" t="s">
        <v>796</v>
      </c>
      <c r="KA111" t="s">
        <v>16</v>
      </c>
      <c r="KB111" t="s">
        <v>738</v>
      </c>
      <c r="KC111" t="s">
        <v>1067</v>
      </c>
      <c r="KD111" s="28">
        <f>AVERAGE(3.36,3.65)</f>
        <v>3.5049999999999999</v>
      </c>
      <c r="KE111" s="11" t="s">
        <v>1</v>
      </c>
      <c r="KF111" s="11" t="s">
        <v>1</v>
      </c>
      <c r="KG111">
        <v>0</v>
      </c>
      <c r="KH111">
        <v>120</v>
      </c>
      <c r="KI111" t="s">
        <v>796</v>
      </c>
      <c r="KJ111" t="s">
        <v>16</v>
      </c>
      <c r="KK111" t="s">
        <v>738</v>
      </c>
    </row>
    <row r="112" spans="1:297" x14ac:dyDescent="0.2">
      <c r="A112">
        <v>111</v>
      </c>
      <c r="B112" t="s">
        <v>705</v>
      </c>
      <c r="C112" t="s">
        <v>121</v>
      </c>
      <c r="D112" t="s">
        <v>116</v>
      </c>
      <c r="E112">
        <v>15</v>
      </c>
      <c r="F112" t="s">
        <v>731</v>
      </c>
      <c r="G112" t="s">
        <v>1</v>
      </c>
      <c r="H112" s="26" t="s">
        <v>1420</v>
      </c>
      <c r="I112" t="s">
        <v>1</v>
      </c>
      <c r="J112" t="s">
        <v>1</v>
      </c>
      <c r="K112" t="s">
        <v>1</v>
      </c>
      <c r="L112" t="s">
        <v>1</v>
      </c>
      <c r="M112" t="s">
        <v>1</v>
      </c>
      <c r="N112" t="s">
        <v>1</v>
      </c>
      <c r="O112" t="s">
        <v>1</v>
      </c>
      <c r="P112" t="s">
        <v>1</v>
      </c>
      <c r="Q112" t="s">
        <v>1</v>
      </c>
      <c r="R112" t="s">
        <v>1</v>
      </c>
      <c r="S112" t="s">
        <v>1</v>
      </c>
      <c r="T112" t="s">
        <v>1</v>
      </c>
      <c r="U112" t="s">
        <v>1</v>
      </c>
      <c r="V112" t="s">
        <v>1</v>
      </c>
      <c r="W112" t="s">
        <v>1</v>
      </c>
      <c r="X112" t="s">
        <v>1</v>
      </c>
      <c r="Y112" t="s">
        <v>1</v>
      </c>
      <c r="Z112" t="s">
        <v>1</v>
      </c>
      <c r="AA112" t="s">
        <v>1</v>
      </c>
      <c r="AB112" t="s">
        <v>1</v>
      </c>
      <c r="AC112" t="s">
        <v>1</v>
      </c>
      <c r="AD112" t="s">
        <v>1</v>
      </c>
      <c r="AE112" t="s">
        <v>1</v>
      </c>
      <c r="AF112" t="s">
        <v>1</v>
      </c>
      <c r="AG112" t="s">
        <v>1</v>
      </c>
      <c r="AH112" t="s">
        <v>1</v>
      </c>
      <c r="AI112" t="s">
        <v>1</v>
      </c>
      <c r="AJ112" t="s">
        <v>1</v>
      </c>
      <c r="AK112" t="s">
        <v>1</v>
      </c>
      <c r="AL112" t="s">
        <v>1</v>
      </c>
      <c r="AM112" t="s">
        <v>1</v>
      </c>
      <c r="AN112">
        <v>111</v>
      </c>
      <c r="AO112">
        <f t="shared" si="7"/>
        <v>111</v>
      </c>
      <c r="AP112">
        <f t="shared" si="5"/>
        <v>15</v>
      </c>
      <c r="AQ112">
        <f t="shared" si="6"/>
        <v>15</v>
      </c>
      <c r="AR112" s="26" t="s">
        <v>1355</v>
      </c>
      <c r="AS112" s="26" t="s">
        <v>1356</v>
      </c>
      <c r="AT112" t="s">
        <v>710</v>
      </c>
      <c r="AU112" t="s">
        <v>1</v>
      </c>
      <c r="AV112" t="s">
        <v>1</v>
      </c>
      <c r="AW112">
        <v>38.119999999999997</v>
      </c>
      <c r="AX112">
        <v>106.3</v>
      </c>
      <c r="AY112" t="s">
        <v>737</v>
      </c>
      <c r="BA112" s="3">
        <v>3</v>
      </c>
      <c r="BB112" s="3"/>
      <c r="BC112" s="3"/>
      <c r="BD112" s="3"/>
      <c r="BE112" s="3"/>
      <c r="BF112">
        <v>2011</v>
      </c>
      <c r="BG112" s="24" t="s">
        <v>732</v>
      </c>
      <c r="BH112" s="24" t="s">
        <v>733</v>
      </c>
      <c r="BI112" s="24" t="s">
        <v>733</v>
      </c>
      <c r="BJ112" s="24" t="s">
        <v>732</v>
      </c>
      <c r="BK112" s="24" t="s">
        <v>733</v>
      </c>
      <c r="BL112" s="25" t="s">
        <v>733</v>
      </c>
      <c r="BM112" s="24" t="s">
        <v>733</v>
      </c>
      <c r="BN112" s="24" t="s">
        <v>732</v>
      </c>
      <c r="BO112" s="24" t="s">
        <v>733</v>
      </c>
      <c r="BP112" s="24" t="s">
        <v>733</v>
      </c>
      <c r="BQ112" s="24" t="s">
        <v>945</v>
      </c>
      <c r="BR112" s="24" t="s">
        <v>945</v>
      </c>
      <c r="BS112" s="25" t="s">
        <v>934</v>
      </c>
      <c r="BT112" s="24" t="s">
        <v>934</v>
      </c>
      <c r="BU112" s="24" t="s">
        <v>934</v>
      </c>
      <c r="BV112" s="24" t="s">
        <v>934</v>
      </c>
      <c r="BW112" s="24" t="s">
        <v>934</v>
      </c>
      <c r="BX112" s="24" t="s">
        <v>934</v>
      </c>
      <c r="BY112" s="25" t="s">
        <v>945</v>
      </c>
      <c r="BZ112" t="s">
        <v>1410</v>
      </c>
      <c r="CB112" t="s">
        <v>118</v>
      </c>
      <c r="CC112" s="14">
        <f>AVERAGE(9634,7098)</f>
        <v>8366</v>
      </c>
      <c r="CD112" s="14"/>
      <c r="CE112" s="14"/>
      <c r="CF112" t="s">
        <v>793</v>
      </c>
      <c r="CG112">
        <v>100</v>
      </c>
      <c r="CH112" t="s">
        <v>805</v>
      </c>
      <c r="CI112" s="1">
        <v>0.5</v>
      </c>
      <c r="CJ112" s="10" t="s">
        <v>1442</v>
      </c>
      <c r="CK112" s="9" t="s">
        <v>1</v>
      </c>
      <c r="CL112" s="4" t="s">
        <v>1</v>
      </c>
      <c r="CM112" t="s">
        <v>847</v>
      </c>
      <c r="CN112" s="4">
        <f>AVERAGE(160.1,158.1)</f>
        <v>159.1</v>
      </c>
      <c r="CO112" s="4"/>
      <c r="CP112" s="4" t="s">
        <v>1</v>
      </c>
      <c r="CQ112" s="4" t="s">
        <v>1</v>
      </c>
      <c r="CR112" s="4" t="s">
        <v>1</v>
      </c>
      <c r="CS112" s="4" t="s">
        <v>1</v>
      </c>
      <c r="CT112" s="4" t="s">
        <v>1</v>
      </c>
      <c r="CU112" s="4" t="s">
        <v>1</v>
      </c>
      <c r="CV112" s="37" t="s">
        <v>1068</v>
      </c>
      <c r="CW112">
        <v>100</v>
      </c>
      <c r="CX112">
        <v>0</v>
      </c>
      <c r="CY112">
        <v>20</v>
      </c>
      <c r="CZ112" s="26" t="s">
        <v>1358</v>
      </c>
      <c r="DA112" t="s">
        <v>734</v>
      </c>
      <c r="DB112">
        <v>28</v>
      </c>
      <c r="DC112">
        <v>0</v>
      </c>
      <c r="DD112">
        <v>20</v>
      </c>
      <c r="DE112" s="26" t="s">
        <v>1358</v>
      </c>
      <c r="DF112" t="s">
        <v>735</v>
      </c>
      <c r="DG112">
        <v>53.8</v>
      </c>
      <c r="DH112">
        <v>0</v>
      </c>
      <c r="DI112">
        <v>20</v>
      </c>
      <c r="DJ112" s="26" t="s">
        <v>1358</v>
      </c>
      <c r="DK112" t="s">
        <v>736</v>
      </c>
      <c r="DL112">
        <v>18.2</v>
      </c>
      <c r="DM112">
        <v>0</v>
      </c>
      <c r="DN112">
        <v>20</v>
      </c>
      <c r="DO112" s="26" t="s">
        <v>1358</v>
      </c>
      <c r="DP112" t="s">
        <v>1</v>
      </c>
      <c r="DQ112" t="s">
        <v>1</v>
      </c>
      <c r="DR112" t="s">
        <v>1</v>
      </c>
      <c r="DS112" t="s">
        <v>1</v>
      </c>
      <c r="DT112" t="s">
        <v>1</v>
      </c>
      <c r="DU112" t="s">
        <v>1</v>
      </c>
      <c r="EA112" t="s">
        <v>982</v>
      </c>
      <c r="EB112">
        <v>8.8000000000000007</v>
      </c>
      <c r="EC112">
        <v>0</v>
      </c>
      <c r="ED112">
        <v>20</v>
      </c>
      <c r="EE112" s="26" t="s">
        <v>1358</v>
      </c>
      <c r="EF112" s="26"/>
      <c r="FZ112" t="s">
        <v>806</v>
      </c>
      <c r="GA112">
        <v>151</v>
      </c>
      <c r="GE112" s="26" t="s">
        <v>1358</v>
      </c>
      <c r="HA112" s="5" t="s">
        <v>1</v>
      </c>
      <c r="HB112" s="4" t="s">
        <v>1</v>
      </c>
      <c r="HC112" t="s">
        <v>1</v>
      </c>
      <c r="HD112" t="s">
        <v>1</v>
      </c>
      <c r="HE112" t="s">
        <v>1</v>
      </c>
      <c r="HF112" s="5" t="s">
        <v>1063</v>
      </c>
      <c r="HG112" s="4">
        <v>1.02</v>
      </c>
      <c r="HH112">
        <v>0</v>
      </c>
      <c r="HI112">
        <v>20</v>
      </c>
      <c r="HJ112" s="26" t="s">
        <v>1358</v>
      </c>
      <c r="HK112" t="s">
        <v>815</v>
      </c>
      <c r="HL112">
        <v>1.47</v>
      </c>
      <c r="HM112">
        <v>0</v>
      </c>
      <c r="HN112">
        <v>20</v>
      </c>
      <c r="HO112" t="s">
        <v>1</v>
      </c>
      <c r="HP112" s="26" t="s">
        <v>1358</v>
      </c>
      <c r="HZ112" t="s">
        <v>969</v>
      </c>
      <c r="IA112">
        <v>300</v>
      </c>
      <c r="IB112" s="10" t="s">
        <v>1</v>
      </c>
      <c r="IC112" s="10"/>
      <c r="ID112" s="10"/>
      <c r="IE112" s="10" t="s">
        <v>1</v>
      </c>
      <c r="IF112" s="10" t="s">
        <v>1</v>
      </c>
      <c r="IG112" s="5" t="s">
        <v>1310</v>
      </c>
      <c r="IH112" s="10">
        <v>90</v>
      </c>
      <c r="II112" s="10" t="s">
        <v>1</v>
      </c>
      <c r="IJ112" s="10" t="s">
        <v>1</v>
      </c>
      <c r="IK112" s="5" t="s">
        <v>1311</v>
      </c>
      <c r="IL112" s="10">
        <v>90</v>
      </c>
      <c r="IM112" s="10" t="s">
        <v>1</v>
      </c>
      <c r="IN112" s="10" t="s">
        <v>1</v>
      </c>
      <c r="IO112" s="10" t="s">
        <v>1</v>
      </c>
      <c r="IP112" s="10" t="s">
        <v>1</v>
      </c>
      <c r="IQ112" s="10" t="s">
        <v>1</v>
      </c>
      <c r="IR112" s="10" t="s">
        <v>1</v>
      </c>
      <c r="IS112" t="s">
        <v>1</v>
      </c>
      <c r="IT112" t="s">
        <v>1</v>
      </c>
      <c r="IW112" t="s">
        <v>1</v>
      </c>
      <c r="IX112" t="s">
        <v>1</v>
      </c>
      <c r="IY112" t="s">
        <v>808</v>
      </c>
      <c r="IZ112">
        <v>12595</v>
      </c>
      <c r="JA112" t="s">
        <v>1</v>
      </c>
      <c r="JB112" s="3" t="s">
        <v>1</v>
      </c>
      <c r="JC112" t="s">
        <v>1</v>
      </c>
      <c r="JD112" s="4" t="s">
        <v>1</v>
      </c>
      <c r="JE112" t="s">
        <v>810</v>
      </c>
      <c r="JF112">
        <v>100</v>
      </c>
      <c r="JR112" t="s">
        <v>1066</v>
      </c>
      <c r="JS112">
        <v>119.9</v>
      </c>
      <c r="JU112" t="s">
        <v>1</v>
      </c>
      <c r="JW112" t="s">
        <v>1</v>
      </c>
      <c r="JX112">
        <v>0</v>
      </c>
      <c r="JY112">
        <v>120</v>
      </c>
      <c r="JZ112" t="s">
        <v>796</v>
      </c>
      <c r="KA112" t="s">
        <v>16</v>
      </c>
      <c r="KB112" t="s">
        <v>738</v>
      </c>
      <c r="KC112" t="s">
        <v>1067</v>
      </c>
      <c r="KD112" s="28">
        <f>AVERAGE(5.26,5.49)</f>
        <v>5.375</v>
      </c>
      <c r="KE112" s="11" t="s">
        <v>1</v>
      </c>
      <c r="KF112" s="11" t="s">
        <v>1</v>
      </c>
      <c r="KG112">
        <v>0</v>
      </c>
      <c r="KH112">
        <v>120</v>
      </c>
      <c r="KI112" t="s">
        <v>796</v>
      </c>
      <c r="KJ112" t="s">
        <v>16</v>
      </c>
      <c r="KK112" t="s">
        <v>738</v>
      </c>
    </row>
    <row r="113" spans="1:297" x14ac:dyDescent="0.2">
      <c r="A113">
        <v>112</v>
      </c>
      <c r="B113" t="s">
        <v>705</v>
      </c>
      <c r="C113" t="s">
        <v>117</v>
      </c>
      <c r="D113" t="s">
        <v>122</v>
      </c>
      <c r="E113">
        <v>16</v>
      </c>
      <c r="F113" t="s">
        <v>123</v>
      </c>
      <c r="G113" t="s">
        <v>1</v>
      </c>
      <c r="H113" s="26" t="s">
        <v>1420</v>
      </c>
      <c r="I113" t="s">
        <v>1</v>
      </c>
      <c r="J113" t="s">
        <v>1</v>
      </c>
      <c r="K113" t="s">
        <v>1</v>
      </c>
      <c r="L113" t="s">
        <v>1</v>
      </c>
      <c r="M113" t="s">
        <v>1</v>
      </c>
      <c r="N113" t="s">
        <v>1</v>
      </c>
      <c r="O113" t="s">
        <v>1</v>
      </c>
      <c r="P113" t="s">
        <v>1</v>
      </c>
      <c r="Q113" t="s">
        <v>1</v>
      </c>
      <c r="R113" t="s">
        <v>1</v>
      </c>
      <c r="S113" t="s">
        <v>1</v>
      </c>
      <c r="T113" t="s">
        <v>1</v>
      </c>
      <c r="U113" t="s">
        <v>1</v>
      </c>
      <c r="V113" t="s">
        <v>1</v>
      </c>
      <c r="W113" t="s">
        <v>1</v>
      </c>
      <c r="X113" t="s">
        <v>1</v>
      </c>
      <c r="Y113" t="s">
        <v>1</v>
      </c>
      <c r="Z113" t="s">
        <v>1</v>
      </c>
      <c r="AA113" t="s">
        <v>1</v>
      </c>
      <c r="AB113" t="s">
        <v>1</v>
      </c>
      <c r="AC113" t="s">
        <v>1</v>
      </c>
      <c r="AD113" t="s">
        <v>1</v>
      </c>
      <c r="AE113" t="s">
        <v>1</v>
      </c>
      <c r="AF113" t="s">
        <v>1</v>
      </c>
      <c r="AG113" t="s">
        <v>1</v>
      </c>
      <c r="AH113" t="s">
        <v>1</v>
      </c>
      <c r="AI113" t="s">
        <v>1</v>
      </c>
      <c r="AJ113" t="s">
        <v>1</v>
      </c>
      <c r="AK113" t="s">
        <v>1</v>
      </c>
      <c r="AL113" t="s">
        <v>1</v>
      </c>
      <c r="AM113" t="s">
        <v>1</v>
      </c>
      <c r="AN113">
        <v>112</v>
      </c>
      <c r="AO113">
        <f t="shared" si="7"/>
        <v>112</v>
      </c>
      <c r="AP113">
        <f t="shared" si="5"/>
        <v>16</v>
      </c>
      <c r="AQ113">
        <f t="shared" si="6"/>
        <v>16</v>
      </c>
      <c r="AR113" s="26" t="s">
        <v>1355</v>
      </c>
      <c r="AS113" s="26" t="s">
        <v>1356</v>
      </c>
      <c r="AT113" t="s">
        <v>710</v>
      </c>
      <c r="AU113" t="s">
        <v>1</v>
      </c>
      <c r="AV113" t="s">
        <v>1</v>
      </c>
      <c r="AW113">
        <v>38.119999999999997</v>
      </c>
      <c r="AX113">
        <v>106.3</v>
      </c>
      <c r="AY113" t="s">
        <v>737</v>
      </c>
      <c r="BA113" s="3">
        <v>3</v>
      </c>
      <c r="BB113" s="3"/>
      <c r="BC113" s="3"/>
      <c r="BD113" s="3"/>
      <c r="BE113" s="3"/>
      <c r="BF113">
        <v>2011</v>
      </c>
      <c r="BG113" s="24" t="s">
        <v>732</v>
      </c>
      <c r="BH113" s="24" t="s">
        <v>733</v>
      </c>
      <c r="BI113" s="24" t="s">
        <v>733</v>
      </c>
      <c r="BJ113" s="24" t="s">
        <v>732</v>
      </c>
      <c r="BK113" s="24" t="s">
        <v>733</v>
      </c>
      <c r="BL113" s="25" t="s">
        <v>733</v>
      </c>
      <c r="BM113" s="24" t="s">
        <v>733</v>
      </c>
      <c r="BN113" s="24" t="s">
        <v>732</v>
      </c>
      <c r="BO113" s="24" t="s">
        <v>733</v>
      </c>
      <c r="BP113" s="24" t="s">
        <v>733</v>
      </c>
      <c r="BQ113" s="24" t="s">
        <v>945</v>
      </c>
      <c r="BR113" s="24" t="s">
        <v>945</v>
      </c>
      <c r="BS113" s="25" t="s">
        <v>934</v>
      </c>
      <c r="BT113" s="24" t="s">
        <v>934</v>
      </c>
      <c r="BU113" s="24" t="s">
        <v>934</v>
      </c>
      <c r="BV113" s="24" t="s">
        <v>934</v>
      </c>
      <c r="BW113" s="24" t="s">
        <v>934</v>
      </c>
      <c r="BX113" s="24" t="s">
        <v>934</v>
      </c>
      <c r="BY113" s="25" t="s">
        <v>945</v>
      </c>
      <c r="BZ113" t="s">
        <v>1410</v>
      </c>
      <c r="CB113" t="s">
        <v>118</v>
      </c>
      <c r="CC113" s="14">
        <f>AVERAGE(3990,3387)</f>
        <v>3688.5</v>
      </c>
      <c r="CD113" s="14"/>
      <c r="CE113" s="14"/>
      <c r="CF113" t="s">
        <v>793</v>
      </c>
      <c r="CG113">
        <v>100</v>
      </c>
      <c r="CH113" t="s">
        <v>805</v>
      </c>
      <c r="CI113" s="1">
        <v>0.5</v>
      </c>
      <c r="CJ113" s="10" t="s">
        <v>1442</v>
      </c>
      <c r="CK113" t="s">
        <v>807</v>
      </c>
      <c r="CL113" s="4">
        <f>AVERAGE(3648,3146)</f>
        <v>3397</v>
      </c>
      <c r="CM113" t="s">
        <v>847</v>
      </c>
      <c r="CN113" s="4">
        <f>AVERAGE(53.6,51.6)</f>
        <v>52.6</v>
      </c>
      <c r="CO113" s="4"/>
      <c r="CP113" s="4" t="s">
        <v>1</v>
      </c>
      <c r="CQ113" s="4" t="s">
        <v>1</v>
      </c>
      <c r="CR113" s="4" t="s">
        <v>1</v>
      </c>
      <c r="CS113" s="4" t="s">
        <v>1</v>
      </c>
      <c r="CT113" s="4" t="s">
        <v>1</v>
      </c>
      <c r="CU113" s="4" t="s">
        <v>1</v>
      </c>
      <c r="CV113" s="37" t="s">
        <v>1068</v>
      </c>
      <c r="CW113">
        <v>100</v>
      </c>
      <c r="CX113" s="1">
        <v>0</v>
      </c>
      <c r="CY113" s="1">
        <v>25</v>
      </c>
      <c r="CZ113" s="26" t="s">
        <v>1358</v>
      </c>
      <c r="DA113" t="s">
        <v>734</v>
      </c>
      <c r="DB113" s="1">
        <f>(27.99*15+26.59/0.95*10)/25</f>
        <v>27.989789473684208</v>
      </c>
      <c r="DC113" s="1">
        <v>0</v>
      </c>
      <c r="DD113" s="1">
        <v>25</v>
      </c>
      <c r="DE113" s="26" t="s">
        <v>1358</v>
      </c>
      <c r="DF113" t="s">
        <v>735</v>
      </c>
      <c r="DG113" s="1">
        <f>(53.76*15+51.07/0.95*10)/25</f>
        <v>53.759157894736845</v>
      </c>
      <c r="DH113" s="1">
        <v>0</v>
      </c>
      <c r="DI113" s="1">
        <v>25</v>
      </c>
      <c r="DJ113" s="26" t="s">
        <v>1358</v>
      </c>
      <c r="DK113" t="s">
        <v>736</v>
      </c>
      <c r="DL113" s="1">
        <f>(18.25*15+17.33/0.95*10)/25</f>
        <v>18.246842105263159</v>
      </c>
      <c r="DM113" s="1">
        <v>0</v>
      </c>
      <c r="DN113" s="1">
        <v>25</v>
      </c>
      <c r="DO113" s="26" t="s">
        <v>1358</v>
      </c>
      <c r="DP113" t="s">
        <v>1</v>
      </c>
      <c r="DQ113" t="s">
        <v>1</v>
      </c>
      <c r="DR113" t="s">
        <v>1</v>
      </c>
      <c r="DS113" t="s">
        <v>1</v>
      </c>
      <c r="DT113" t="s">
        <v>1</v>
      </c>
      <c r="DU113" t="s">
        <v>1</v>
      </c>
      <c r="DX113" s="1"/>
      <c r="DY113" s="1"/>
      <c r="DZ113" s="1"/>
      <c r="EA113" t="s">
        <v>982</v>
      </c>
      <c r="EB113">
        <v>8.2999999999999989</v>
      </c>
      <c r="EC113" s="1">
        <v>0</v>
      </c>
      <c r="ED113" s="1">
        <v>25</v>
      </c>
      <c r="EE113" s="26" t="s">
        <v>1358</v>
      </c>
      <c r="EF113" s="26"/>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t="s">
        <v>806</v>
      </c>
      <c r="GA113">
        <v>107.825</v>
      </c>
      <c r="GE113" s="26" t="s">
        <v>1358</v>
      </c>
      <c r="HA113" s="5" t="s">
        <v>1</v>
      </c>
      <c r="HB113" s="4" t="s">
        <v>1</v>
      </c>
      <c r="HC113" t="s">
        <v>1</v>
      </c>
      <c r="HD113" t="s">
        <v>1</v>
      </c>
      <c r="HE113" t="s">
        <v>1</v>
      </c>
      <c r="HF113" s="5" t="s">
        <v>1063</v>
      </c>
      <c r="HG113" s="4">
        <v>0.9840000000000001</v>
      </c>
      <c r="HH113" s="1">
        <v>0</v>
      </c>
      <c r="HI113" s="1">
        <v>25</v>
      </c>
      <c r="HJ113" s="26" t="s">
        <v>1358</v>
      </c>
      <c r="HK113" t="s">
        <v>815</v>
      </c>
      <c r="HL113">
        <v>1.3819999999999999</v>
      </c>
      <c r="HM113" s="1">
        <v>0</v>
      </c>
      <c r="HN113" s="1">
        <v>25</v>
      </c>
      <c r="HO113" t="s">
        <v>1</v>
      </c>
      <c r="HP113" s="26" t="s">
        <v>1358</v>
      </c>
      <c r="HZ113" t="s">
        <v>1</v>
      </c>
      <c r="IA113" t="s">
        <v>1</v>
      </c>
      <c r="IB113" s="10" t="s">
        <v>1</v>
      </c>
      <c r="IC113" s="10"/>
      <c r="ID113" s="10"/>
      <c r="IE113" s="10" t="s">
        <v>1</v>
      </c>
      <c r="IF113" s="10" t="s">
        <v>1</v>
      </c>
      <c r="IG113" s="5" t="s">
        <v>1310</v>
      </c>
      <c r="IH113" s="10">
        <v>90</v>
      </c>
      <c r="II113" s="10" t="s">
        <v>1</v>
      </c>
      <c r="IJ113" s="10" t="s">
        <v>1</v>
      </c>
      <c r="IK113" s="5" t="s">
        <v>1311</v>
      </c>
      <c r="IL113" s="10">
        <v>75</v>
      </c>
      <c r="IM113" s="10" t="s">
        <v>1</v>
      </c>
      <c r="IN113" s="10" t="s">
        <v>1</v>
      </c>
      <c r="IO113" s="10" t="s">
        <v>1</v>
      </c>
      <c r="IP113" s="10" t="s">
        <v>1</v>
      </c>
      <c r="IQ113" s="10" t="s">
        <v>1</v>
      </c>
      <c r="IR113" s="10" t="s">
        <v>1</v>
      </c>
      <c r="IS113" t="s">
        <v>1</v>
      </c>
      <c r="IT113" t="s">
        <v>1</v>
      </c>
      <c r="IW113" t="s">
        <v>1</v>
      </c>
      <c r="IX113" t="s">
        <v>1</v>
      </c>
      <c r="IY113" t="s">
        <v>808</v>
      </c>
      <c r="IZ113">
        <v>12175</v>
      </c>
      <c r="JA113" t="s">
        <v>1</v>
      </c>
      <c r="JB113" s="3" t="s">
        <v>1</v>
      </c>
      <c r="JC113" t="s">
        <v>1</v>
      </c>
      <c r="JD113" s="4" t="s">
        <v>1</v>
      </c>
      <c r="JE113" t="s">
        <v>810</v>
      </c>
      <c r="JF113">
        <v>100</v>
      </c>
      <c r="JR113" t="s">
        <v>1066</v>
      </c>
      <c r="JS113">
        <v>30.2</v>
      </c>
      <c r="JU113" t="s">
        <v>1</v>
      </c>
      <c r="JW113" t="s">
        <v>1</v>
      </c>
      <c r="JX113">
        <v>0</v>
      </c>
      <c r="JY113">
        <v>120</v>
      </c>
      <c r="JZ113" t="s">
        <v>796</v>
      </c>
      <c r="KA113" t="s">
        <v>16</v>
      </c>
      <c r="KB113" t="s">
        <v>738</v>
      </c>
      <c r="KC113" t="s">
        <v>1067</v>
      </c>
      <c r="KD113" s="28">
        <f>AVERAGE(0.61,0.87)</f>
        <v>0.74</v>
      </c>
      <c r="KE113" s="11" t="s">
        <v>1</v>
      </c>
      <c r="KF113" s="11" t="s">
        <v>1</v>
      </c>
      <c r="KG113">
        <v>0</v>
      </c>
      <c r="KH113">
        <v>120</v>
      </c>
      <c r="KI113" t="s">
        <v>796</v>
      </c>
      <c r="KJ113" t="s">
        <v>16</v>
      </c>
      <c r="KK113" t="s">
        <v>738</v>
      </c>
    </row>
    <row r="114" spans="1:297" x14ac:dyDescent="0.2">
      <c r="A114">
        <v>113</v>
      </c>
      <c r="B114" t="s">
        <v>705</v>
      </c>
      <c r="C114" t="s">
        <v>124</v>
      </c>
      <c r="D114" t="s">
        <v>122</v>
      </c>
      <c r="E114">
        <v>16</v>
      </c>
      <c r="F114" t="s">
        <v>123</v>
      </c>
      <c r="G114" t="s">
        <v>1</v>
      </c>
      <c r="H114" s="26" t="s">
        <v>1420</v>
      </c>
      <c r="I114" t="s">
        <v>1</v>
      </c>
      <c r="J114" t="s">
        <v>1</v>
      </c>
      <c r="K114" t="s">
        <v>1</v>
      </c>
      <c r="L114" t="s">
        <v>1</v>
      </c>
      <c r="M114" t="s">
        <v>1</v>
      </c>
      <c r="N114" t="s">
        <v>1</v>
      </c>
      <c r="O114" t="s">
        <v>1</v>
      </c>
      <c r="P114" t="s">
        <v>1</v>
      </c>
      <c r="Q114" t="s">
        <v>1</v>
      </c>
      <c r="R114" t="s">
        <v>1</v>
      </c>
      <c r="S114" t="s">
        <v>1</v>
      </c>
      <c r="T114" t="s">
        <v>1</v>
      </c>
      <c r="U114" t="s">
        <v>1</v>
      </c>
      <c r="V114" t="s">
        <v>1</v>
      </c>
      <c r="W114" t="s">
        <v>1</v>
      </c>
      <c r="X114" t="s">
        <v>1</v>
      </c>
      <c r="Y114" t="s">
        <v>1</v>
      </c>
      <c r="Z114" t="s">
        <v>1</v>
      </c>
      <c r="AA114" t="s">
        <v>1</v>
      </c>
      <c r="AB114" t="s">
        <v>1</v>
      </c>
      <c r="AC114" t="s">
        <v>1</v>
      </c>
      <c r="AD114" t="s">
        <v>1</v>
      </c>
      <c r="AE114" t="s">
        <v>1</v>
      </c>
      <c r="AF114" t="s">
        <v>1</v>
      </c>
      <c r="AG114" t="s">
        <v>1</v>
      </c>
      <c r="AH114" t="s">
        <v>1</v>
      </c>
      <c r="AI114" t="s">
        <v>1</v>
      </c>
      <c r="AJ114" t="s">
        <v>1</v>
      </c>
      <c r="AK114" t="s">
        <v>1</v>
      </c>
      <c r="AL114" t="s">
        <v>1</v>
      </c>
      <c r="AM114" t="s">
        <v>1</v>
      </c>
      <c r="AN114">
        <v>113</v>
      </c>
      <c r="AO114">
        <f t="shared" si="7"/>
        <v>113</v>
      </c>
      <c r="AP114">
        <f t="shared" si="5"/>
        <v>16</v>
      </c>
      <c r="AQ114">
        <f t="shared" si="6"/>
        <v>16</v>
      </c>
      <c r="AR114" s="26" t="s">
        <v>1355</v>
      </c>
      <c r="AS114" s="26" t="s">
        <v>1356</v>
      </c>
      <c r="AT114" t="s">
        <v>710</v>
      </c>
      <c r="AU114" t="s">
        <v>1</v>
      </c>
      <c r="AV114" t="s">
        <v>1</v>
      </c>
      <c r="AW114">
        <v>38.119999999999997</v>
      </c>
      <c r="AX114">
        <v>106.3</v>
      </c>
      <c r="AY114" t="s">
        <v>737</v>
      </c>
      <c r="BA114" s="3">
        <v>3</v>
      </c>
      <c r="BB114" s="3"/>
      <c r="BC114" s="3"/>
      <c r="BD114" s="3"/>
      <c r="BE114" s="3"/>
      <c r="BF114">
        <v>2011</v>
      </c>
      <c r="BG114" s="24" t="s">
        <v>732</v>
      </c>
      <c r="BH114" s="24" t="s">
        <v>733</v>
      </c>
      <c r="BI114" s="24" t="s">
        <v>733</v>
      </c>
      <c r="BJ114" s="24" t="s">
        <v>732</v>
      </c>
      <c r="BK114" s="24" t="s">
        <v>733</v>
      </c>
      <c r="BL114" s="25" t="s">
        <v>733</v>
      </c>
      <c r="BM114" s="24" t="s">
        <v>733</v>
      </c>
      <c r="BN114" s="24" t="s">
        <v>732</v>
      </c>
      <c r="BO114" s="24" t="s">
        <v>733</v>
      </c>
      <c r="BP114" s="24" t="s">
        <v>733</v>
      </c>
      <c r="BQ114" s="24" t="s">
        <v>945</v>
      </c>
      <c r="BR114" s="24" t="s">
        <v>945</v>
      </c>
      <c r="BS114" s="25" t="s">
        <v>934</v>
      </c>
      <c r="BT114" s="24" t="s">
        <v>934</v>
      </c>
      <c r="BU114" s="24" t="s">
        <v>934</v>
      </c>
      <c r="BV114" s="24" t="s">
        <v>934</v>
      </c>
      <c r="BW114" s="24" t="s">
        <v>934</v>
      </c>
      <c r="BX114" s="24" t="s">
        <v>934</v>
      </c>
      <c r="BY114" s="25" t="s">
        <v>945</v>
      </c>
      <c r="BZ114" t="s">
        <v>1410</v>
      </c>
      <c r="CB114" t="s">
        <v>118</v>
      </c>
      <c r="CC114" s="14">
        <f>AVERAGE(10727,9192)</f>
        <v>9959.5</v>
      </c>
      <c r="CD114" s="14"/>
      <c r="CE114" s="14"/>
      <c r="CF114" t="s">
        <v>793</v>
      </c>
      <c r="CG114">
        <v>100</v>
      </c>
      <c r="CH114" t="s">
        <v>805</v>
      </c>
      <c r="CI114" s="1">
        <v>0.5</v>
      </c>
      <c r="CJ114" s="10" t="s">
        <v>1442</v>
      </c>
      <c r="CK114" t="s">
        <v>807</v>
      </c>
      <c r="CL114" s="4">
        <f>AVERAGE(8974,7784)</f>
        <v>8379</v>
      </c>
      <c r="CM114" t="s">
        <v>847</v>
      </c>
      <c r="CN114" s="4">
        <f>AVERAGE(164.4,158.1)</f>
        <v>161.25</v>
      </c>
      <c r="CO114" s="4"/>
      <c r="CP114" s="4" t="s">
        <v>1</v>
      </c>
      <c r="CQ114" s="4" t="s">
        <v>1</v>
      </c>
      <c r="CR114" s="4" t="s">
        <v>1</v>
      </c>
      <c r="CS114" s="4" t="s">
        <v>1</v>
      </c>
      <c r="CT114" s="4" t="s">
        <v>1</v>
      </c>
      <c r="CU114" s="4" t="s">
        <v>1</v>
      </c>
      <c r="CV114" s="37" t="s">
        <v>1068</v>
      </c>
      <c r="CW114">
        <v>100</v>
      </c>
      <c r="CX114" s="1">
        <v>0</v>
      </c>
      <c r="CY114" s="1">
        <v>25</v>
      </c>
      <c r="CZ114" s="26" t="s">
        <v>1358</v>
      </c>
      <c r="DA114" t="s">
        <v>734</v>
      </c>
      <c r="DB114" s="1">
        <f t="shared" ref="DB114:DB116" si="8">(27.99*15+26.59/0.95*10)/25</f>
        <v>27.989789473684208</v>
      </c>
      <c r="DC114" s="1">
        <v>0</v>
      </c>
      <c r="DD114" s="1">
        <v>25</v>
      </c>
      <c r="DE114" s="26" t="s">
        <v>1358</v>
      </c>
      <c r="DF114" t="s">
        <v>735</v>
      </c>
      <c r="DG114" s="1">
        <f>(53.76*15+51.07/0.95*10)/25</f>
        <v>53.759157894736845</v>
      </c>
      <c r="DH114" s="1">
        <v>0</v>
      </c>
      <c r="DI114" s="1">
        <v>25</v>
      </c>
      <c r="DJ114" s="26" t="s">
        <v>1358</v>
      </c>
      <c r="DK114" t="s">
        <v>736</v>
      </c>
      <c r="DL114" s="1">
        <f t="shared" ref="DL114:DL116" si="9">(18.25*15+17.33/0.95*10)/25</f>
        <v>18.246842105263159</v>
      </c>
      <c r="DM114" s="1">
        <v>0</v>
      </c>
      <c r="DN114" s="1">
        <v>25</v>
      </c>
      <c r="DO114" s="26" t="s">
        <v>1358</v>
      </c>
      <c r="DP114" t="s">
        <v>1</v>
      </c>
      <c r="DQ114" t="s">
        <v>1</v>
      </c>
      <c r="DR114" t="s">
        <v>1</v>
      </c>
      <c r="DS114" t="s">
        <v>1</v>
      </c>
      <c r="DT114" t="s">
        <v>1</v>
      </c>
      <c r="DU114" t="s">
        <v>1</v>
      </c>
      <c r="DX114" s="1"/>
      <c r="DY114" s="1"/>
      <c r="DZ114" s="1"/>
      <c r="EA114" t="s">
        <v>982</v>
      </c>
      <c r="EB114">
        <v>8.2999999999999989</v>
      </c>
      <c r="EC114" s="1">
        <v>0</v>
      </c>
      <c r="ED114" s="1">
        <v>25</v>
      </c>
      <c r="EE114" s="26" t="s">
        <v>1358</v>
      </c>
      <c r="EF114" s="26"/>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t="s">
        <v>806</v>
      </c>
      <c r="GA114">
        <v>107.825</v>
      </c>
      <c r="GE114" s="26" t="s">
        <v>1358</v>
      </c>
      <c r="HA114" s="5" t="s">
        <v>1</v>
      </c>
      <c r="HB114" s="4" t="s">
        <v>1</v>
      </c>
      <c r="HC114" t="s">
        <v>1</v>
      </c>
      <c r="HD114" t="s">
        <v>1</v>
      </c>
      <c r="HE114" t="s">
        <v>1</v>
      </c>
      <c r="HF114" s="5" t="s">
        <v>1063</v>
      </c>
      <c r="HG114" s="4">
        <v>0.9840000000000001</v>
      </c>
      <c r="HH114" s="1">
        <v>0</v>
      </c>
      <c r="HI114" s="1">
        <v>25</v>
      </c>
      <c r="HJ114" s="26" t="s">
        <v>1358</v>
      </c>
      <c r="HK114" t="s">
        <v>815</v>
      </c>
      <c r="HL114">
        <v>1.3819999999999999</v>
      </c>
      <c r="HM114" s="1">
        <v>0</v>
      </c>
      <c r="HN114" s="1">
        <v>25</v>
      </c>
      <c r="HO114" t="s">
        <v>1</v>
      </c>
      <c r="HP114" s="26" t="s">
        <v>1358</v>
      </c>
      <c r="HZ114" t="s">
        <v>969</v>
      </c>
      <c r="IA114">
        <v>300</v>
      </c>
      <c r="IB114" s="10" t="s">
        <v>1</v>
      </c>
      <c r="IC114" s="10"/>
      <c r="ID114" s="10"/>
      <c r="IE114" s="10" t="s">
        <v>1</v>
      </c>
      <c r="IF114" s="10" t="s">
        <v>1</v>
      </c>
      <c r="IG114" s="5" t="s">
        <v>1310</v>
      </c>
      <c r="IH114" s="10">
        <v>90</v>
      </c>
      <c r="II114" s="10" t="s">
        <v>1</v>
      </c>
      <c r="IJ114" s="10" t="s">
        <v>1</v>
      </c>
      <c r="IK114" s="5" t="s">
        <v>1311</v>
      </c>
      <c r="IL114" s="10">
        <v>75</v>
      </c>
      <c r="IM114" s="10" t="s">
        <v>1</v>
      </c>
      <c r="IN114" s="10" t="s">
        <v>1</v>
      </c>
      <c r="IO114" s="10" t="s">
        <v>1</v>
      </c>
      <c r="IP114" s="10" t="s">
        <v>1</v>
      </c>
      <c r="IQ114" s="10" t="s">
        <v>1</v>
      </c>
      <c r="IR114" s="10" t="s">
        <v>1</v>
      </c>
      <c r="IS114" t="s">
        <v>1</v>
      </c>
      <c r="IT114" t="s">
        <v>1</v>
      </c>
      <c r="IW114" t="s">
        <v>1</v>
      </c>
      <c r="IX114" t="s">
        <v>1</v>
      </c>
      <c r="IY114" t="s">
        <v>808</v>
      </c>
      <c r="IZ114">
        <v>12175</v>
      </c>
      <c r="JA114" t="s">
        <v>1</v>
      </c>
      <c r="JB114" s="3" t="s">
        <v>1</v>
      </c>
      <c r="JC114" t="s">
        <v>1</v>
      </c>
      <c r="JD114" s="4" t="s">
        <v>1</v>
      </c>
      <c r="JE114" t="s">
        <v>810</v>
      </c>
      <c r="JF114">
        <v>100</v>
      </c>
      <c r="JR114" t="s">
        <v>1066</v>
      </c>
      <c r="JS114">
        <v>99.8</v>
      </c>
      <c r="JU114" t="s">
        <v>1</v>
      </c>
      <c r="JW114" t="s">
        <v>1</v>
      </c>
      <c r="JX114">
        <v>0</v>
      </c>
      <c r="JY114">
        <v>120</v>
      </c>
      <c r="JZ114" t="s">
        <v>796</v>
      </c>
      <c r="KA114" t="s">
        <v>16</v>
      </c>
      <c r="KB114" t="s">
        <v>738</v>
      </c>
      <c r="KC114" t="s">
        <v>1067</v>
      </c>
      <c r="KD114" s="28">
        <f>AVERAGE(3.97,5.49)</f>
        <v>4.7300000000000004</v>
      </c>
      <c r="KE114" s="11" t="s">
        <v>1</v>
      </c>
      <c r="KF114" s="11" t="s">
        <v>1</v>
      </c>
      <c r="KG114">
        <v>0</v>
      </c>
      <c r="KH114">
        <v>120</v>
      </c>
      <c r="KI114" t="s">
        <v>796</v>
      </c>
      <c r="KJ114" t="s">
        <v>16</v>
      </c>
      <c r="KK114" t="s">
        <v>738</v>
      </c>
    </row>
    <row r="115" spans="1:297" x14ac:dyDescent="0.2">
      <c r="A115">
        <v>114</v>
      </c>
      <c r="B115" t="s">
        <v>705</v>
      </c>
      <c r="C115" t="s">
        <v>125</v>
      </c>
      <c r="D115" t="s">
        <v>122</v>
      </c>
      <c r="E115">
        <v>16</v>
      </c>
      <c r="F115" t="s">
        <v>123</v>
      </c>
      <c r="G115" t="s">
        <v>1</v>
      </c>
      <c r="H115" s="26" t="s">
        <v>1420</v>
      </c>
      <c r="I115" t="s">
        <v>1</v>
      </c>
      <c r="J115" t="s">
        <v>1</v>
      </c>
      <c r="K115" t="s">
        <v>1</v>
      </c>
      <c r="L115" t="s">
        <v>1</v>
      </c>
      <c r="M115" t="s">
        <v>1</v>
      </c>
      <c r="N115" t="s">
        <v>1</v>
      </c>
      <c r="O115" t="s">
        <v>1</v>
      </c>
      <c r="P115" t="s">
        <v>1</v>
      </c>
      <c r="Q115" t="s">
        <v>1</v>
      </c>
      <c r="R115" t="s">
        <v>1</v>
      </c>
      <c r="S115" t="s">
        <v>1</v>
      </c>
      <c r="T115" t="s">
        <v>1</v>
      </c>
      <c r="U115" t="s">
        <v>1</v>
      </c>
      <c r="V115" t="s">
        <v>1</v>
      </c>
      <c r="W115" t="s">
        <v>1</v>
      </c>
      <c r="X115" t="s">
        <v>1</v>
      </c>
      <c r="Y115" t="s">
        <v>1</v>
      </c>
      <c r="Z115" t="s">
        <v>1</v>
      </c>
      <c r="AA115" t="s">
        <v>1</v>
      </c>
      <c r="AB115" t="s">
        <v>1</v>
      </c>
      <c r="AC115" t="s">
        <v>1</v>
      </c>
      <c r="AD115" t="s">
        <v>1</v>
      </c>
      <c r="AE115" t="s">
        <v>1</v>
      </c>
      <c r="AF115" t="s">
        <v>1</v>
      </c>
      <c r="AG115" t="s">
        <v>1</v>
      </c>
      <c r="AH115" t="s">
        <v>1</v>
      </c>
      <c r="AI115" t="s">
        <v>1</v>
      </c>
      <c r="AJ115" t="s">
        <v>1</v>
      </c>
      <c r="AK115" t="s">
        <v>1</v>
      </c>
      <c r="AL115" t="s">
        <v>1</v>
      </c>
      <c r="AM115" t="s">
        <v>1</v>
      </c>
      <c r="AN115">
        <v>114</v>
      </c>
      <c r="AO115">
        <f t="shared" si="7"/>
        <v>114</v>
      </c>
      <c r="AP115">
        <f t="shared" si="5"/>
        <v>16</v>
      </c>
      <c r="AQ115">
        <f t="shared" si="6"/>
        <v>16</v>
      </c>
      <c r="AR115" s="26" t="s">
        <v>1355</v>
      </c>
      <c r="AS115" s="26" t="s">
        <v>1356</v>
      </c>
      <c r="AT115" t="s">
        <v>710</v>
      </c>
      <c r="AU115" t="s">
        <v>1</v>
      </c>
      <c r="AV115" t="s">
        <v>1</v>
      </c>
      <c r="AW115">
        <v>38.119999999999997</v>
      </c>
      <c r="AX115">
        <v>106.3</v>
      </c>
      <c r="AY115" t="s">
        <v>737</v>
      </c>
      <c r="BA115" s="3">
        <v>3</v>
      </c>
      <c r="BB115" s="3"/>
      <c r="BC115" s="3"/>
      <c r="BD115" s="3"/>
      <c r="BE115" s="3"/>
      <c r="BF115">
        <v>2011</v>
      </c>
      <c r="BG115" s="24" t="s">
        <v>732</v>
      </c>
      <c r="BH115" s="24" t="s">
        <v>733</v>
      </c>
      <c r="BI115" s="24" t="s">
        <v>733</v>
      </c>
      <c r="BJ115" s="24" t="s">
        <v>732</v>
      </c>
      <c r="BK115" s="24" t="s">
        <v>733</v>
      </c>
      <c r="BL115" s="25" t="s">
        <v>733</v>
      </c>
      <c r="BM115" s="24" t="s">
        <v>733</v>
      </c>
      <c r="BN115" s="24" t="s">
        <v>732</v>
      </c>
      <c r="BO115" s="24" t="s">
        <v>733</v>
      </c>
      <c r="BP115" s="24" t="s">
        <v>733</v>
      </c>
      <c r="BQ115" s="24" t="s">
        <v>945</v>
      </c>
      <c r="BR115" s="24" t="s">
        <v>945</v>
      </c>
      <c r="BS115" s="25" t="s">
        <v>934</v>
      </c>
      <c r="BT115" s="24" t="s">
        <v>934</v>
      </c>
      <c r="BU115" s="24" t="s">
        <v>934</v>
      </c>
      <c r="BV115" s="24" t="s">
        <v>934</v>
      </c>
      <c r="BW115" s="24" t="s">
        <v>934</v>
      </c>
      <c r="BX115" s="24" t="s">
        <v>934</v>
      </c>
      <c r="BY115" s="25" t="s">
        <v>945</v>
      </c>
      <c r="BZ115" t="s">
        <v>1410</v>
      </c>
      <c r="CB115" t="s">
        <v>118</v>
      </c>
      <c r="CC115" s="14">
        <f>AVERAGE(10459,9079)</f>
        <v>9769</v>
      </c>
      <c r="CD115" s="14"/>
      <c r="CE115" s="14"/>
      <c r="CF115" t="s">
        <v>793</v>
      </c>
      <c r="CG115">
        <v>100</v>
      </c>
      <c r="CH115" t="s">
        <v>805</v>
      </c>
      <c r="CI115" s="1">
        <v>0.5</v>
      </c>
      <c r="CJ115" s="10" t="s">
        <v>1442</v>
      </c>
      <c r="CK115" t="s">
        <v>807</v>
      </c>
      <c r="CL115" s="4">
        <f>AVERAGE(8320,7411)</f>
        <v>7865.5</v>
      </c>
      <c r="CM115" t="s">
        <v>847</v>
      </c>
      <c r="CN115" s="4">
        <f>AVERAGE(165.3,157.1)</f>
        <v>161.19999999999999</v>
      </c>
      <c r="CO115" s="4"/>
      <c r="CP115" s="4" t="s">
        <v>1</v>
      </c>
      <c r="CQ115" s="4" t="s">
        <v>1</v>
      </c>
      <c r="CR115" s="4" t="s">
        <v>1</v>
      </c>
      <c r="CS115" s="4" t="s">
        <v>1</v>
      </c>
      <c r="CT115" s="4" t="s">
        <v>1</v>
      </c>
      <c r="CU115" s="4" t="s">
        <v>1</v>
      </c>
      <c r="CV115" s="37" t="s">
        <v>1068</v>
      </c>
      <c r="CW115">
        <v>100</v>
      </c>
      <c r="CX115" s="1">
        <v>0</v>
      </c>
      <c r="CY115" s="1">
        <v>25</v>
      </c>
      <c r="CZ115" s="26" t="s">
        <v>1358</v>
      </c>
      <c r="DA115" t="s">
        <v>734</v>
      </c>
      <c r="DB115" s="1">
        <f t="shared" si="8"/>
        <v>27.989789473684208</v>
      </c>
      <c r="DC115" s="1">
        <v>0</v>
      </c>
      <c r="DD115" s="1">
        <v>25</v>
      </c>
      <c r="DE115" s="26" t="s">
        <v>1358</v>
      </c>
      <c r="DF115" t="s">
        <v>735</v>
      </c>
      <c r="DG115" s="1">
        <f>(53.76*15+51.07/0.95*10)/25</f>
        <v>53.759157894736845</v>
      </c>
      <c r="DH115" s="1">
        <v>0</v>
      </c>
      <c r="DI115" s="1">
        <v>25</v>
      </c>
      <c r="DJ115" s="26" t="s">
        <v>1358</v>
      </c>
      <c r="DK115" t="s">
        <v>736</v>
      </c>
      <c r="DL115" s="1">
        <f t="shared" si="9"/>
        <v>18.246842105263159</v>
      </c>
      <c r="DM115" s="1">
        <v>0</v>
      </c>
      <c r="DN115" s="1">
        <v>25</v>
      </c>
      <c r="DO115" s="26" t="s">
        <v>1358</v>
      </c>
      <c r="DP115" t="s">
        <v>1</v>
      </c>
      <c r="DQ115" t="s">
        <v>1</v>
      </c>
      <c r="DR115" t="s">
        <v>1</v>
      </c>
      <c r="DS115" t="s">
        <v>1</v>
      </c>
      <c r="DT115" t="s">
        <v>1</v>
      </c>
      <c r="DU115" t="s">
        <v>1</v>
      </c>
      <c r="DX115" s="1"/>
      <c r="DY115" s="1"/>
      <c r="DZ115" s="1"/>
      <c r="EA115" t="s">
        <v>982</v>
      </c>
      <c r="EB115">
        <v>8.2999999999999989</v>
      </c>
      <c r="EC115" s="1">
        <v>0</v>
      </c>
      <c r="ED115" s="1">
        <v>25</v>
      </c>
      <c r="EE115" s="26" t="s">
        <v>1358</v>
      </c>
      <c r="EF115" s="26"/>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t="s">
        <v>806</v>
      </c>
      <c r="GA115">
        <v>107.825</v>
      </c>
      <c r="GE115" s="26" t="s">
        <v>1358</v>
      </c>
      <c r="HA115" s="5" t="s">
        <v>1</v>
      </c>
      <c r="HB115" s="4" t="s">
        <v>1</v>
      </c>
      <c r="HC115" t="s">
        <v>1</v>
      </c>
      <c r="HD115" t="s">
        <v>1</v>
      </c>
      <c r="HE115" t="s">
        <v>1</v>
      </c>
      <c r="HF115" s="5" t="s">
        <v>1063</v>
      </c>
      <c r="HG115" s="4">
        <v>0.9840000000000001</v>
      </c>
      <c r="HH115" s="1">
        <v>0</v>
      </c>
      <c r="HI115" s="1">
        <v>25</v>
      </c>
      <c r="HJ115" s="26" t="s">
        <v>1358</v>
      </c>
      <c r="HK115" t="s">
        <v>815</v>
      </c>
      <c r="HL115">
        <v>1.3819999999999999</v>
      </c>
      <c r="HM115" s="1">
        <v>0</v>
      </c>
      <c r="HN115" s="1">
        <v>25</v>
      </c>
      <c r="HO115" t="s">
        <v>1</v>
      </c>
      <c r="HP115" s="26" t="s">
        <v>1358</v>
      </c>
      <c r="HZ115" t="s">
        <v>970</v>
      </c>
      <c r="IA115">
        <v>176</v>
      </c>
      <c r="IB115" s="10" t="s">
        <v>1</v>
      </c>
      <c r="IC115" s="10"/>
      <c r="ID115" s="10"/>
      <c r="IE115" s="5" t="s">
        <v>1312</v>
      </c>
      <c r="IF115" s="5" t="b">
        <v>1</v>
      </c>
      <c r="IG115" s="5" t="s">
        <v>973</v>
      </c>
      <c r="IH115" s="10">
        <v>90</v>
      </c>
      <c r="II115" s="5" t="s">
        <v>1312</v>
      </c>
      <c r="IJ115" s="5" t="b">
        <v>1</v>
      </c>
      <c r="IK115" s="5" t="s">
        <v>975</v>
      </c>
      <c r="IL115" s="10">
        <v>75</v>
      </c>
      <c r="IM115" s="5" t="s">
        <v>1312</v>
      </c>
      <c r="IN115" s="5" t="b">
        <v>1</v>
      </c>
      <c r="IO115" s="10" t="s">
        <v>1</v>
      </c>
      <c r="IP115" s="10" t="s">
        <v>1</v>
      </c>
      <c r="IQ115" s="10" t="s">
        <v>1</v>
      </c>
      <c r="IR115" s="10" t="s">
        <v>1</v>
      </c>
      <c r="IS115" t="s">
        <v>1</v>
      </c>
      <c r="IT115" t="s">
        <v>1</v>
      </c>
      <c r="IW115" t="s">
        <v>1</v>
      </c>
      <c r="IX115" t="s">
        <v>1</v>
      </c>
      <c r="IY115" t="s">
        <v>808</v>
      </c>
      <c r="IZ115">
        <v>12175</v>
      </c>
      <c r="JA115" t="s">
        <v>1</v>
      </c>
      <c r="JB115" s="3" t="s">
        <v>1</v>
      </c>
      <c r="JC115" t="s">
        <v>1</v>
      </c>
      <c r="JD115" s="4" t="s">
        <v>1</v>
      </c>
      <c r="JE115" t="s">
        <v>810</v>
      </c>
      <c r="JF115">
        <v>100</v>
      </c>
      <c r="JR115" t="s">
        <v>1066</v>
      </c>
      <c r="JS115">
        <v>75.8</v>
      </c>
      <c r="JU115" t="s">
        <v>1</v>
      </c>
      <c r="JW115" t="s">
        <v>1</v>
      </c>
      <c r="JX115">
        <v>0</v>
      </c>
      <c r="JY115">
        <v>120</v>
      </c>
      <c r="JZ115" t="s">
        <v>796</v>
      </c>
      <c r="KA115" t="s">
        <v>16</v>
      </c>
      <c r="KB115" t="s">
        <v>738</v>
      </c>
      <c r="KC115" t="s">
        <v>1067</v>
      </c>
      <c r="KD115" s="28">
        <f>AVERAGE(2.42,3.55)</f>
        <v>2.9849999999999999</v>
      </c>
      <c r="KE115" s="11" t="s">
        <v>1</v>
      </c>
      <c r="KF115" s="11" t="s">
        <v>1</v>
      </c>
      <c r="KG115">
        <v>0</v>
      </c>
      <c r="KH115">
        <v>120</v>
      </c>
      <c r="KI115" t="s">
        <v>796</v>
      </c>
      <c r="KJ115" t="s">
        <v>16</v>
      </c>
      <c r="KK115" t="s">
        <v>738</v>
      </c>
    </row>
    <row r="116" spans="1:297" x14ac:dyDescent="0.2">
      <c r="A116">
        <v>115</v>
      </c>
      <c r="B116" t="s">
        <v>705</v>
      </c>
      <c r="C116" t="s">
        <v>126</v>
      </c>
      <c r="D116" t="s">
        <v>122</v>
      </c>
      <c r="E116">
        <v>16</v>
      </c>
      <c r="F116" t="s">
        <v>123</v>
      </c>
      <c r="G116" t="s">
        <v>1</v>
      </c>
      <c r="H116" s="26" t="s">
        <v>1420</v>
      </c>
      <c r="I116" t="s">
        <v>1</v>
      </c>
      <c r="J116" t="s">
        <v>1</v>
      </c>
      <c r="K116" t="s">
        <v>1</v>
      </c>
      <c r="L116" t="s">
        <v>1</v>
      </c>
      <c r="M116" t="s">
        <v>1</v>
      </c>
      <c r="N116" t="s">
        <v>1</v>
      </c>
      <c r="O116" t="s">
        <v>1</v>
      </c>
      <c r="P116" t="s">
        <v>1</v>
      </c>
      <c r="Q116" t="s">
        <v>1</v>
      </c>
      <c r="R116" t="s">
        <v>1</v>
      </c>
      <c r="S116" t="s">
        <v>1</v>
      </c>
      <c r="T116" t="s">
        <v>1</v>
      </c>
      <c r="U116" t="s">
        <v>1</v>
      </c>
      <c r="V116" t="s">
        <v>1</v>
      </c>
      <c r="W116" t="s">
        <v>1</v>
      </c>
      <c r="X116" t="s">
        <v>1</v>
      </c>
      <c r="Y116" t="s">
        <v>1</v>
      </c>
      <c r="Z116" t="s">
        <v>1</v>
      </c>
      <c r="AA116" t="s">
        <v>1</v>
      </c>
      <c r="AB116" t="s">
        <v>1</v>
      </c>
      <c r="AC116" t="s">
        <v>1</v>
      </c>
      <c r="AD116" t="s">
        <v>1</v>
      </c>
      <c r="AE116" t="s">
        <v>1</v>
      </c>
      <c r="AF116" t="s">
        <v>1</v>
      </c>
      <c r="AG116" t="s">
        <v>1</v>
      </c>
      <c r="AH116" t="s">
        <v>1</v>
      </c>
      <c r="AI116" t="s">
        <v>1</v>
      </c>
      <c r="AJ116" t="s">
        <v>1</v>
      </c>
      <c r="AK116" t="s">
        <v>1</v>
      </c>
      <c r="AL116" t="s">
        <v>1</v>
      </c>
      <c r="AM116" t="s">
        <v>1</v>
      </c>
      <c r="AN116">
        <v>115</v>
      </c>
      <c r="AO116">
        <f t="shared" si="7"/>
        <v>115</v>
      </c>
      <c r="AP116">
        <f t="shared" si="5"/>
        <v>16</v>
      </c>
      <c r="AQ116">
        <f t="shared" si="6"/>
        <v>16</v>
      </c>
      <c r="AR116" s="26" t="s">
        <v>1355</v>
      </c>
      <c r="AS116" s="26" t="s">
        <v>1356</v>
      </c>
      <c r="AT116" t="s">
        <v>710</v>
      </c>
      <c r="AU116" t="s">
        <v>1</v>
      </c>
      <c r="AV116" t="s">
        <v>1</v>
      </c>
      <c r="AW116">
        <v>38.119999999999997</v>
      </c>
      <c r="AX116">
        <v>106.3</v>
      </c>
      <c r="AY116" t="s">
        <v>737</v>
      </c>
      <c r="BA116" s="3">
        <v>3</v>
      </c>
      <c r="BB116" s="3"/>
      <c r="BC116" s="3"/>
      <c r="BD116" s="3"/>
      <c r="BE116" s="3"/>
      <c r="BF116">
        <v>2011</v>
      </c>
      <c r="BG116" s="24" t="s">
        <v>732</v>
      </c>
      <c r="BH116" s="24" t="s">
        <v>733</v>
      </c>
      <c r="BI116" s="24" t="s">
        <v>733</v>
      </c>
      <c r="BJ116" s="24" t="s">
        <v>732</v>
      </c>
      <c r="BK116" s="24" t="s">
        <v>733</v>
      </c>
      <c r="BL116" s="25" t="s">
        <v>733</v>
      </c>
      <c r="BM116" s="24" t="s">
        <v>733</v>
      </c>
      <c r="BN116" s="24" t="s">
        <v>732</v>
      </c>
      <c r="BO116" s="24" t="s">
        <v>733</v>
      </c>
      <c r="BP116" s="24" t="s">
        <v>733</v>
      </c>
      <c r="BQ116" s="24" t="s">
        <v>945</v>
      </c>
      <c r="BR116" s="24" t="s">
        <v>945</v>
      </c>
      <c r="BS116" s="25" t="s">
        <v>934</v>
      </c>
      <c r="BT116" s="24" t="s">
        <v>934</v>
      </c>
      <c r="BU116" s="24" t="s">
        <v>934</v>
      </c>
      <c r="BV116" s="24" t="s">
        <v>934</v>
      </c>
      <c r="BW116" s="24" t="s">
        <v>934</v>
      </c>
      <c r="BX116" s="24" t="s">
        <v>934</v>
      </c>
      <c r="BY116" s="25" t="s">
        <v>945</v>
      </c>
      <c r="BZ116" t="s">
        <v>1410</v>
      </c>
      <c r="CB116" t="s">
        <v>118</v>
      </c>
      <c r="CC116" s="14">
        <f>AVERAGE(8198,7120)</f>
        <v>7659</v>
      </c>
      <c r="CD116" s="14"/>
      <c r="CE116" s="14"/>
      <c r="CF116" t="s">
        <v>793</v>
      </c>
      <c r="CG116">
        <v>100</v>
      </c>
      <c r="CH116" t="s">
        <v>805</v>
      </c>
      <c r="CI116" s="1">
        <v>0.5</v>
      </c>
      <c r="CJ116" s="10" t="s">
        <v>1442</v>
      </c>
      <c r="CK116" t="s">
        <v>807</v>
      </c>
      <c r="CL116" s="4">
        <f>AVERAGE(6599,5637)</f>
        <v>6118</v>
      </c>
      <c r="CM116" t="s">
        <v>847</v>
      </c>
      <c r="CN116" s="4">
        <f>AVERAGE(119.4,112.1)</f>
        <v>115.75</v>
      </c>
      <c r="CO116" s="4"/>
      <c r="CP116" s="4" t="s">
        <v>1</v>
      </c>
      <c r="CQ116" s="4" t="s">
        <v>1</v>
      </c>
      <c r="CR116" s="4" t="s">
        <v>1</v>
      </c>
      <c r="CS116" s="4" t="s">
        <v>1</v>
      </c>
      <c r="CT116" s="4" t="s">
        <v>1</v>
      </c>
      <c r="CU116" s="4" t="s">
        <v>1</v>
      </c>
      <c r="CV116" s="37" t="s">
        <v>1068</v>
      </c>
      <c r="CW116">
        <v>100</v>
      </c>
      <c r="CX116" s="1">
        <v>0</v>
      </c>
      <c r="CY116" s="1">
        <v>25</v>
      </c>
      <c r="CZ116" s="26" t="s">
        <v>1358</v>
      </c>
      <c r="DA116" t="s">
        <v>734</v>
      </c>
      <c r="DB116" s="1">
        <f t="shared" si="8"/>
        <v>27.989789473684208</v>
      </c>
      <c r="DC116" s="1">
        <v>0</v>
      </c>
      <c r="DD116" s="1">
        <v>25</v>
      </c>
      <c r="DE116" s="26" t="s">
        <v>1358</v>
      </c>
      <c r="DF116" t="s">
        <v>735</v>
      </c>
      <c r="DG116" s="1">
        <f>(53.76*15+51.07/0.95*10)/25</f>
        <v>53.759157894736845</v>
      </c>
      <c r="DH116" s="1">
        <v>0</v>
      </c>
      <c r="DI116" s="1">
        <v>25</v>
      </c>
      <c r="DJ116" s="26" t="s">
        <v>1358</v>
      </c>
      <c r="DK116" t="s">
        <v>736</v>
      </c>
      <c r="DL116" s="1">
        <f t="shared" si="9"/>
        <v>18.246842105263159</v>
      </c>
      <c r="DM116" s="1">
        <v>0</v>
      </c>
      <c r="DN116" s="1">
        <v>25</v>
      </c>
      <c r="DO116" s="26" t="s">
        <v>1358</v>
      </c>
      <c r="DP116" t="s">
        <v>1</v>
      </c>
      <c r="DQ116" t="s">
        <v>1</v>
      </c>
      <c r="DR116" t="s">
        <v>1</v>
      </c>
      <c r="DS116" t="s">
        <v>1</v>
      </c>
      <c r="DT116" t="s">
        <v>1</v>
      </c>
      <c r="DU116" t="s">
        <v>1</v>
      </c>
      <c r="DX116" s="1"/>
      <c r="DY116" s="1"/>
      <c r="DZ116" s="1"/>
      <c r="EA116" t="s">
        <v>982</v>
      </c>
      <c r="EB116">
        <v>8.2999999999999989</v>
      </c>
      <c r="EC116" s="1">
        <v>0</v>
      </c>
      <c r="ED116" s="1">
        <v>25</v>
      </c>
      <c r="EE116" s="26" t="s">
        <v>1358</v>
      </c>
      <c r="EF116" s="26"/>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t="s">
        <v>806</v>
      </c>
      <c r="GA116">
        <v>107.825</v>
      </c>
      <c r="GE116" s="26" t="s">
        <v>1358</v>
      </c>
      <c r="HA116" s="5" t="s">
        <v>1</v>
      </c>
      <c r="HB116" s="4" t="s">
        <v>1</v>
      </c>
      <c r="HC116" t="s">
        <v>1</v>
      </c>
      <c r="HD116" t="s">
        <v>1</v>
      </c>
      <c r="HE116" t="s">
        <v>1</v>
      </c>
      <c r="HF116" s="5" t="s">
        <v>1063</v>
      </c>
      <c r="HG116" s="4">
        <v>0.9840000000000001</v>
      </c>
      <c r="HH116" s="1">
        <v>0</v>
      </c>
      <c r="HI116" s="1">
        <v>25</v>
      </c>
      <c r="HJ116" s="26" t="s">
        <v>1358</v>
      </c>
      <c r="HK116" t="s">
        <v>815</v>
      </c>
      <c r="HL116">
        <v>1.3819999999999999</v>
      </c>
      <c r="HM116" s="1">
        <v>0</v>
      </c>
      <c r="HN116" s="1">
        <v>25</v>
      </c>
      <c r="HO116" t="s">
        <v>1</v>
      </c>
      <c r="HP116" s="26" t="s">
        <v>1358</v>
      </c>
      <c r="HZ116" t="s">
        <v>970</v>
      </c>
      <c r="IA116">
        <v>125</v>
      </c>
      <c r="IB116" s="10" t="s">
        <v>1</v>
      </c>
      <c r="IC116" s="10"/>
      <c r="ID116" s="10"/>
      <c r="IE116" s="5" t="s">
        <v>1312</v>
      </c>
      <c r="IF116" s="5" t="b">
        <v>1</v>
      </c>
      <c r="IG116" s="5" t="s">
        <v>973</v>
      </c>
      <c r="IH116" s="10">
        <f>90-IP116</f>
        <v>65</v>
      </c>
      <c r="II116" s="5" t="s">
        <v>1312</v>
      </c>
      <c r="IJ116" s="5" t="b">
        <v>1</v>
      </c>
      <c r="IK116" s="5" t="s">
        <v>975</v>
      </c>
      <c r="IL116" s="5">
        <f>75-IR116</f>
        <v>54</v>
      </c>
      <c r="IM116" s="5" t="s">
        <v>1312</v>
      </c>
      <c r="IN116" s="5" t="b">
        <v>1</v>
      </c>
      <c r="IO116" s="5" t="s">
        <v>977</v>
      </c>
      <c r="IP116">
        <v>25</v>
      </c>
      <c r="IQ116" s="5" t="s">
        <v>974</v>
      </c>
      <c r="IR116" s="5">
        <v>21</v>
      </c>
      <c r="IS116" t="s">
        <v>1</v>
      </c>
      <c r="IT116" t="s">
        <v>1</v>
      </c>
      <c r="IW116" t="s">
        <v>1</v>
      </c>
      <c r="IX116" t="s">
        <v>1</v>
      </c>
      <c r="IY116" t="s">
        <v>808</v>
      </c>
      <c r="IZ116">
        <v>12175</v>
      </c>
      <c r="JA116" t="s">
        <v>1</v>
      </c>
      <c r="JB116" s="3" t="s">
        <v>1</v>
      </c>
      <c r="JC116" t="s">
        <v>1</v>
      </c>
      <c r="JD116" s="4" t="s">
        <v>1</v>
      </c>
      <c r="JE116" t="s">
        <v>810</v>
      </c>
      <c r="JF116">
        <v>100</v>
      </c>
      <c r="JR116" t="s">
        <v>1066</v>
      </c>
      <c r="JS116">
        <v>62.5</v>
      </c>
      <c r="JU116" t="s">
        <v>1</v>
      </c>
      <c r="JW116" t="s">
        <v>1</v>
      </c>
      <c r="JX116">
        <v>0</v>
      </c>
      <c r="JY116">
        <v>120</v>
      </c>
      <c r="JZ116" t="s">
        <v>796</v>
      </c>
      <c r="KA116" t="s">
        <v>16</v>
      </c>
      <c r="KB116" t="s">
        <v>738</v>
      </c>
      <c r="KC116" t="s">
        <v>1067</v>
      </c>
      <c r="KD116" s="28">
        <f>AVERAGE(1.73,3.22)</f>
        <v>2.4750000000000001</v>
      </c>
      <c r="KE116" s="11" t="s">
        <v>1</v>
      </c>
      <c r="KF116" s="11" t="s">
        <v>1</v>
      </c>
      <c r="KG116">
        <v>0</v>
      </c>
      <c r="KH116">
        <v>120</v>
      </c>
      <c r="KI116" t="s">
        <v>796</v>
      </c>
      <c r="KJ116" t="s">
        <v>16</v>
      </c>
      <c r="KK116" t="s">
        <v>738</v>
      </c>
    </row>
    <row r="117" spans="1:297" x14ac:dyDescent="0.2">
      <c r="A117">
        <v>116</v>
      </c>
      <c r="B117" t="s">
        <v>705</v>
      </c>
      <c r="C117" t="s">
        <v>117</v>
      </c>
      <c r="D117" t="s">
        <v>127</v>
      </c>
      <c r="E117">
        <v>17</v>
      </c>
      <c r="F117" t="s">
        <v>128</v>
      </c>
      <c r="G117" t="s">
        <v>1</v>
      </c>
      <c r="H117" s="26" t="s">
        <v>1420</v>
      </c>
      <c r="I117" t="s">
        <v>1</v>
      </c>
      <c r="J117" t="s">
        <v>1</v>
      </c>
      <c r="K117" t="s">
        <v>1</v>
      </c>
      <c r="L117" t="s">
        <v>1</v>
      </c>
      <c r="M117" t="s">
        <v>1</v>
      </c>
      <c r="N117" t="s">
        <v>1</v>
      </c>
      <c r="O117" t="s">
        <v>1</v>
      </c>
      <c r="P117" t="s">
        <v>1</v>
      </c>
      <c r="Q117" t="s">
        <v>1</v>
      </c>
      <c r="R117" t="s">
        <v>1</v>
      </c>
      <c r="S117" t="s">
        <v>1</v>
      </c>
      <c r="T117" t="s">
        <v>1</v>
      </c>
      <c r="U117" t="s">
        <v>1</v>
      </c>
      <c r="V117" t="s">
        <v>1</v>
      </c>
      <c r="W117" t="s">
        <v>1</v>
      </c>
      <c r="X117" t="s">
        <v>1</v>
      </c>
      <c r="Y117" t="s">
        <v>1</v>
      </c>
      <c r="Z117" t="s">
        <v>1</v>
      </c>
      <c r="AA117" t="s">
        <v>1</v>
      </c>
      <c r="AB117" t="s">
        <v>1</v>
      </c>
      <c r="AC117" t="s">
        <v>1</v>
      </c>
      <c r="AD117" t="s">
        <v>1</v>
      </c>
      <c r="AE117" t="s">
        <v>1</v>
      </c>
      <c r="AF117" t="s">
        <v>1</v>
      </c>
      <c r="AG117" t="s">
        <v>1</v>
      </c>
      <c r="AH117" t="s">
        <v>1</v>
      </c>
      <c r="AI117" t="s">
        <v>1</v>
      </c>
      <c r="AJ117" t="s">
        <v>1</v>
      </c>
      <c r="AK117" t="s">
        <v>1</v>
      </c>
      <c r="AL117" t="s">
        <v>1</v>
      </c>
      <c r="AM117" t="s">
        <v>1</v>
      </c>
      <c r="AN117">
        <v>116</v>
      </c>
      <c r="AO117">
        <f t="shared" si="7"/>
        <v>116</v>
      </c>
      <c r="AP117">
        <f t="shared" si="5"/>
        <v>17</v>
      </c>
      <c r="AQ117">
        <f t="shared" si="6"/>
        <v>17</v>
      </c>
      <c r="AR117" s="26" t="s">
        <v>1355</v>
      </c>
      <c r="AS117" s="26" t="s">
        <v>1356</v>
      </c>
      <c r="AT117" t="s">
        <v>710</v>
      </c>
      <c r="AU117" t="s">
        <v>790</v>
      </c>
      <c r="AV117" t="s">
        <v>789</v>
      </c>
      <c r="AW117" s="27" t="s">
        <v>1</v>
      </c>
      <c r="AX117" t="s">
        <v>1</v>
      </c>
      <c r="AY117" t="s">
        <v>737</v>
      </c>
      <c r="BA117" s="3">
        <v>3</v>
      </c>
      <c r="BB117" s="3"/>
      <c r="BC117" s="3"/>
      <c r="BD117" s="3"/>
      <c r="BE117" s="3"/>
      <c r="BF117">
        <v>2009</v>
      </c>
      <c r="BG117" s="24" t="s">
        <v>733</v>
      </c>
      <c r="BH117" s="24" t="s">
        <v>733</v>
      </c>
      <c r="BI117" s="24" t="s">
        <v>733</v>
      </c>
      <c r="BJ117" s="24" t="s">
        <v>732</v>
      </c>
      <c r="BK117" s="24" t="s">
        <v>733</v>
      </c>
      <c r="BL117" s="25" t="s">
        <v>733</v>
      </c>
      <c r="BM117" s="24" t="s">
        <v>733</v>
      </c>
      <c r="BN117" s="24" t="s">
        <v>732</v>
      </c>
      <c r="BO117" s="24" t="s">
        <v>733</v>
      </c>
      <c r="BP117" s="24" t="s">
        <v>733</v>
      </c>
      <c r="BQ117" s="24" t="s">
        <v>945</v>
      </c>
      <c r="BR117" s="24" t="s">
        <v>945</v>
      </c>
      <c r="BS117" s="25" t="s">
        <v>934</v>
      </c>
      <c r="BT117" s="24" t="s">
        <v>934</v>
      </c>
      <c r="BU117" s="24" t="s">
        <v>934</v>
      </c>
      <c r="BV117" s="24" t="s">
        <v>934</v>
      </c>
      <c r="BW117" s="24" t="s">
        <v>934</v>
      </c>
      <c r="BX117" s="24" t="s">
        <v>934</v>
      </c>
      <c r="BY117" s="25" t="s">
        <v>945</v>
      </c>
      <c r="BZ117" t="s">
        <v>1410</v>
      </c>
      <c r="CB117" t="s">
        <v>118</v>
      </c>
      <c r="CC117" s="14">
        <f>3.6*1000</f>
        <v>3600</v>
      </c>
      <c r="CD117" s="14"/>
      <c r="CE117" s="14"/>
      <c r="CF117" t="s">
        <v>793</v>
      </c>
      <c r="CG117">
        <v>100</v>
      </c>
      <c r="CH117" t="s">
        <v>805</v>
      </c>
      <c r="CI117" s="1">
        <v>0.5</v>
      </c>
      <c r="CJ117" s="10" t="s">
        <v>1442</v>
      </c>
      <c r="CK117" s="9" t="s">
        <v>1</v>
      </c>
      <c r="CL117" s="4" t="s">
        <v>1</v>
      </c>
      <c r="CM117" t="s">
        <v>847</v>
      </c>
      <c r="CN117" s="4">
        <v>53</v>
      </c>
      <c r="CO117" s="4"/>
      <c r="CP117" s="4" t="s">
        <v>1</v>
      </c>
      <c r="CQ117" s="4" t="s">
        <v>1</v>
      </c>
      <c r="CR117" s="4" t="s">
        <v>1</v>
      </c>
      <c r="CS117" s="4" t="s">
        <v>1</v>
      </c>
      <c r="CT117" s="4" t="s">
        <v>1</v>
      </c>
      <c r="CU117" s="4" t="s">
        <v>1</v>
      </c>
      <c r="CV117" t="s">
        <v>855</v>
      </c>
      <c r="CW117">
        <v>100</v>
      </c>
      <c r="CX117">
        <v>0</v>
      </c>
      <c r="CY117">
        <v>20</v>
      </c>
      <c r="CZ117" s="26" t="s">
        <v>1358</v>
      </c>
      <c r="DA117" t="s">
        <v>734</v>
      </c>
      <c r="DB117">
        <v>52.1</v>
      </c>
      <c r="DC117">
        <v>0</v>
      </c>
      <c r="DD117">
        <v>20</v>
      </c>
      <c r="DE117" s="26" t="s">
        <v>1358</v>
      </c>
      <c r="DF117" t="s">
        <v>735</v>
      </c>
      <c r="DG117">
        <v>44.7</v>
      </c>
      <c r="DH117">
        <v>0</v>
      </c>
      <c r="DI117">
        <v>20</v>
      </c>
      <c r="DJ117" s="26" t="s">
        <v>1358</v>
      </c>
      <c r="DK117" t="s">
        <v>736</v>
      </c>
      <c r="DL117">
        <v>3.2</v>
      </c>
      <c r="DM117">
        <v>0</v>
      </c>
      <c r="DN117">
        <v>20</v>
      </c>
      <c r="DO117" s="26" t="s">
        <v>1358</v>
      </c>
      <c r="DP117" t="s">
        <v>6</v>
      </c>
      <c r="DQ117" t="s">
        <v>1</v>
      </c>
      <c r="DR117">
        <v>7.9</v>
      </c>
      <c r="DS117">
        <v>0</v>
      </c>
      <c r="DT117">
        <v>20</v>
      </c>
      <c r="DU117" s="26" t="s">
        <v>1358</v>
      </c>
      <c r="EA117" t="s">
        <v>982</v>
      </c>
      <c r="EB117">
        <v>8.1000000000000014</v>
      </c>
      <c r="EC117">
        <v>0</v>
      </c>
      <c r="ED117">
        <v>20</v>
      </c>
      <c r="EE117" s="26" t="s">
        <v>1358</v>
      </c>
      <c r="EF117" s="26"/>
      <c r="FZ117" t="s">
        <v>806</v>
      </c>
      <c r="GA117">
        <v>59</v>
      </c>
      <c r="GE117" s="26" t="s">
        <v>1358</v>
      </c>
      <c r="HA117" s="5" t="s">
        <v>1</v>
      </c>
      <c r="HB117" s="4" t="s">
        <v>1</v>
      </c>
      <c r="HC117" t="s">
        <v>1</v>
      </c>
      <c r="HD117" t="s">
        <v>1</v>
      </c>
      <c r="HE117" t="s">
        <v>1</v>
      </c>
      <c r="HF117" s="5" t="s">
        <v>1063</v>
      </c>
      <c r="HG117" s="4">
        <v>1.1499999999999999</v>
      </c>
      <c r="HH117">
        <v>0</v>
      </c>
      <c r="HI117">
        <v>20</v>
      </c>
      <c r="HJ117" s="26" t="s">
        <v>1358</v>
      </c>
      <c r="HK117" t="s">
        <v>1</v>
      </c>
      <c r="HL117" t="s">
        <v>1</v>
      </c>
      <c r="HM117" t="s">
        <v>1</v>
      </c>
      <c r="HN117" t="s">
        <v>1</v>
      </c>
      <c r="HO117" t="s">
        <v>1</v>
      </c>
      <c r="HP117" t="s">
        <v>1</v>
      </c>
      <c r="HZ117" t="s">
        <v>1</v>
      </c>
      <c r="IA117" t="s">
        <v>1</v>
      </c>
      <c r="IB117" s="10" t="s">
        <v>1</v>
      </c>
      <c r="IC117" s="10"/>
      <c r="ID117" s="10"/>
      <c r="IE117" s="10" t="s">
        <v>1</v>
      </c>
      <c r="IF117" s="10" t="s">
        <v>1</v>
      </c>
      <c r="IG117" s="10"/>
      <c r="IH117" s="10"/>
      <c r="II117" s="10"/>
      <c r="IJ117" s="10"/>
      <c r="IK117" s="10"/>
      <c r="IL117" s="10"/>
      <c r="IM117" s="10"/>
      <c r="IN117" s="10"/>
      <c r="IO117" s="10"/>
      <c r="IP117" s="10"/>
      <c r="IQ117" s="10"/>
      <c r="IR117" s="10"/>
      <c r="IS117" t="s">
        <v>1</v>
      </c>
      <c r="IT117" t="s">
        <v>1</v>
      </c>
      <c r="IW117" t="s">
        <v>1</v>
      </c>
      <c r="IX117" t="s">
        <v>1</v>
      </c>
      <c r="IY117" t="s">
        <v>808</v>
      </c>
      <c r="IZ117">
        <v>12000</v>
      </c>
      <c r="JA117" t="s">
        <v>1</v>
      </c>
      <c r="JB117" s="3" t="s">
        <v>1</v>
      </c>
      <c r="JC117" t="s">
        <v>1</v>
      </c>
      <c r="JD117" s="4" t="s">
        <v>1</v>
      </c>
      <c r="JE117" t="s">
        <v>810</v>
      </c>
      <c r="JF117">
        <v>100</v>
      </c>
      <c r="JR117" t="s">
        <v>1066</v>
      </c>
      <c r="JS117">
        <v>0</v>
      </c>
      <c r="JU117" t="s">
        <v>1</v>
      </c>
      <c r="JW117" t="s">
        <v>1</v>
      </c>
      <c r="JX117">
        <v>0</v>
      </c>
      <c r="JY117">
        <v>60</v>
      </c>
      <c r="JZ117" t="s">
        <v>796</v>
      </c>
      <c r="KA117" t="s">
        <v>129</v>
      </c>
      <c r="KB117" t="s">
        <v>738</v>
      </c>
      <c r="KC117" t="s">
        <v>1067</v>
      </c>
      <c r="KD117" s="28">
        <v>3.4</v>
      </c>
      <c r="KE117" s="11" t="s">
        <v>1</v>
      </c>
      <c r="KF117" s="11" t="s">
        <v>1</v>
      </c>
      <c r="KG117">
        <v>0</v>
      </c>
      <c r="KH117">
        <v>60</v>
      </c>
      <c r="KI117" t="s">
        <v>796</v>
      </c>
      <c r="KJ117" t="s">
        <v>129</v>
      </c>
      <c r="KK117" t="s">
        <v>738</v>
      </c>
    </row>
    <row r="118" spans="1:297" x14ac:dyDescent="0.2">
      <c r="A118">
        <v>117</v>
      </c>
      <c r="B118" t="s">
        <v>705</v>
      </c>
      <c r="C118" t="s">
        <v>130</v>
      </c>
      <c r="D118" t="s">
        <v>127</v>
      </c>
      <c r="E118">
        <v>17</v>
      </c>
      <c r="F118" t="s">
        <v>128</v>
      </c>
      <c r="G118" t="s">
        <v>1</v>
      </c>
      <c r="H118" s="26" t="s">
        <v>1420</v>
      </c>
      <c r="I118" t="s">
        <v>1</v>
      </c>
      <c r="J118" t="s">
        <v>1</v>
      </c>
      <c r="K118" t="s">
        <v>1</v>
      </c>
      <c r="L118" t="s">
        <v>1</v>
      </c>
      <c r="M118" t="s">
        <v>1</v>
      </c>
      <c r="N118" t="s">
        <v>1</v>
      </c>
      <c r="O118" t="s">
        <v>1</v>
      </c>
      <c r="P118" t="s">
        <v>1</v>
      </c>
      <c r="Q118" t="s">
        <v>1</v>
      </c>
      <c r="R118" t="s">
        <v>1</v>
      </c>
      <c r="S118" t="s">
        <v>1</v>
      </c>
      <c r="T118" t="s">
        <v>1</v>
      </c>
      <c r="U118" t="s">
        <v>1</v>
      </c>
      <c r="V118" t="s">
        <v>1</v>
      </c>
      <c r="W118" t="s">
        <v>1</v>
      </c>
      <c r="X118" t="s">
        <v>1</v>
      </c>
      <c r="Y118" t="s">
        <v>1</v>
      </c>
      <c r="Z118" t="s">
        <v>1</v>
      </c>
      <c r="AA118" t="s">
        <v>1</v>
      </c>
      <c r="AB118" t="s">
        <v>1</v>
      </c>
      <c r="AC118" t="s">
        <v>1</v>
      </c>
      <c r="AD118" t="s">
        <v>1</v>
      </c>
      <c r="AE118" t="s">
        <v>1</v>
      </c>
      <c r="AF118" t="s">
        <v>1</v>
      </c>
      <c r="AG118" t="s">
        <v>1</v>
      </c>
      <c r="AH118" t="s">
        <v>1</v>
      </c>
      <c r="AI118" t="s">
        <v>1</v>
      </c>
      <c r="AJ118" t="s">
        <v>1</v>
      </c>
      <c r="AK118" t="s">
        <v>1</v>
      </c>
      <c r="AL118" t="s">
        <v>1</v>
      </c>
      <c r="AM118" t="s">
        <v>1</v>
      </c>
      <c r="AN118">
        <v>117</v>
      </c>
      <c r="AO118">
        <f t="shared" si="7"/>
        <v>117</v>
      </c>
      <c r="AP118">
        <f t="shared" si="5"/>
        <v>17</v>
      </c>
      <c r="AQ118">
        <f t="shared" si="6"/>
        <v>17</v>
      </c>
      <c r="AR118" s="26" t="s">
        <v>1355</v>
      </c>
      <c r="AS118" s="26" t="s">
        <v>1356</v>
      </c>
      <c r="AT118" t="s">
        <v>710</v>
      </c>
      <c r="AU118" t="s">
        <v>790</v>
      </c>
      <c r="AV118" t="s">
        <v>789</v>
      </c>
      <c r="AW118" t="s">
        <v>1</v>
      </c>
      <c r="AX118" t="s">
        <v>1</v>
      </c>
      <c r="AY118" t="s">
        <v>737</v>
      </c>
      <c r="BA118" s="3">
        <v>3</v>
      </c>
      <c r="BB118" s="3"/>
      <c r="BC118" s="3"/>
      <c r="BD118" s="3"/>
      <c r="BE118" s="3"/>
      <c r="BF118">
        <v>2009</v>
      </c>
      <c r="BG118" s="24" t="s">
        <v>733</v>
      </c>
      <c r="BH118" s="24" t="s">
        <v>733</v>
      </c>
      <c r="BI118" s="24" t="s">
        <v>733</v>
      </c>
      <c r="BJ118" s="24" t="s">
        <v>732</v>
      </c>
      <c r="BK118" s="24" t="s">
        <v>733</v>
      </c>
      <c r="BL118" s="25" t="s">
        <v>733</v>
      </c>
      <c r="BM118" s="24" t="s">
        <v>733</v>
      </c>
      <c r="BN118" s="24" t="s">
        <v>732</v>
      </c>
      <c r="BO118" s="24" t="s">
        <v>733</v>
      </c>
      <c r="BP118" s="24" t="s">
        <v>733</v>
      </c>
      <c r="BQ118" s="24" t="s">
        <v>945</v>
      </c>
      <c r="BR118" s="24" t="s">
        <v>945</v>
      </c>
      <c r="BS118" s="25" t="s">
        <v>934</v>
      </c>
      <c r="BT118" s="24" t="s">
        <v>934</v>
      </c>
      <c r="BU118" s="24" t="s">
        <v>934</v>
      </c>
      <c r="BV118" s="24" t="s">
        <v>934</v>
      </c>
      <c r="BW118" s="24" t="s">
        <v>934</v>
      </c>
      <c r="BX118" s="24" t="s">
        <v>934</v>
      </c>
      <c r="BY118" s="25" t="s">
        <v>945</v>
      </c>
      <c r="BZ118" t="s">
        <v>1410</v>
      </c>
      <c r="CB118" t="s">
        <v>118</v>
      </c>
      <c r="CC118" s="14">
        <f>5.6*1000</f>
        <v>5600</v>
      </c>
      <c r="CD118" s="14"/>
      <c r="CE118" s="14"/>
      <c r="CF118" t="s">
        <v>793</v>
      </c>
      <c r="CG118">
        <v>100</v>
      </c>
      <c r="CH118" t="s">
        <v>805</v>
      </c>
      <c r="CI118" s="1">
        <v>0.5</v>
      </c>
      <c r="CJ118" s="10" t="s">
        <v>1442</v>
      </c>
      <c r="CK118" s="9" t="s">
        <v>1</v>
      </c>
      <c r="CL118" s="4" t="s">
        <v>1</v>
      </c>
      <c r="CM118" t="s">
        <v>847</v>
      </c>
      <c r="CN118" s="4">
        <v>87</v>
      </c>
      <c r="CO118" s="4"/>
      <c r="CP118" s="4" t="s">
        <v>1</v>
      </c>
      <c r="CQ118" s="4" t="s">
        <v>1</v>
      </c>
      <c r="CR118" s="4" t="s">
        <v>1</v>
      </c>
      <c r="CS118" s="4" t="s">
        <v>1</v>
      </c>
      <c r="CT118" s="4" t="s">
        <v>1</v>
      </c>
      <c r="CU118" s="4" t="s">
        <v>1</v>
      </c>
      <c r="CV118" t="s">
        <v>855</v>
      </c>
      <c r="CW118">
        <v>100</v>
      </c>
      <c r="CX118">
        <v>0</v>
      </c>
      <c r="CY118">
        <v>20</v>
      </c>
      <c r="CZ118" s="26" t="s">
        <v>1358</v>
      </c>
      <c r="DA118" t="s">
        <v>734</v>
      </c>
      <c r="DB118">
        <v>52.1</v>
      </c>
      <c r="DC118">
        <v>0</v>
      </c>
      <c r="DD118">
        <v>20</v>
      </c>
      <c r="DE118" s="26" t="s">
        <v>1358</v>
      </c>
      <c r="DF118" t="s">
        <v>735</v>
      </c>
      <c r="DG118">
        <v>44.7</v>
      </c>
      <c r="DH118">
        <v>0</v>
      </c>
      <c r="DI118">
        <v>20</v>
      </c>
      <c r="DJ118" s="26" t="s">
        <v>1358</v>
      </c>
      <c r="DK118" t="s">
        <v>736</v>
      </c>
      <c r="DL118">
        <v>3.2</v>
      </c>
      <c r="DM118">
        <v>0</v>
      </c>
      <c r="DN118">
        <v>20</v>
      </c>
      <c r="DO118" s="26" t="s">
        <v>1358</v>
      </c>
      <c r="DP118" t="s">
        <v>6</v>
      </c>
      <c r="DQ118" t="s">
        <v>1</v>
      </c>
      <c r="DR118">
        <v>7.9</v>
      </c>
      <c r="DS118">
        <v>0</v>
      </c>
      <c r="DT118">
        <v>20</v>
      </c>
      <c r="DU118" s="26" t="s">
        <v>1358</v>
      </c>
      <c r="EA118" t="s">
        <v>982</v>
      </c>
      <c r="EB118">
        <v>8.1000000000000014</v>
      </c>
      <c r="EC118">
        <v>0</v>
      </c>
      <c r="ED118">
        <v>20</v>
      </c>
      <c r="EE118" s="26" t="s">
        <v>1358</v>
      </c>
      <c r="EF118" s="26"/>
      <c r="FZ118" t="s">
        <v>806</v>
      </c>
      <c r="GA118">
        <v>59</v>
      </c>
      <c r="GE118" s="26" t="s">
        <v>1358</v>
      </c>
      <c r="HA118" s="5" t="s">
        <v>1</v>
      </c>
      <c r="HB118" s="4" t="s">
        <v>1</v>
      </c>
      <c r="HC118" t="s">
        <v>1</v>
      </c>
      <c r="HD118" t="s">
        <v>1</v>
      </c>
      <c r="HE118" t="s">
        <v>1</v>
      </c>
      <c r="HF118" s="5" t="s">
        <v>1063</v>
      </c>
      <c r="HG118" s="4">
        <v>1.1499999999999999</v>
      </c>
      <c r="HH118">
        <v>0</v>
      </c>
      <c r="HI118">
        <v>20</v>
      </c>
      <c r="HJ118" s="26" t="s">
        <v>1358</v>
      </c>
      <c r="HK118" t="s">
        <v>1</v>
      </c>
      <c r="HL118" t="s">
        <v>1</v>
      </c>
      <c r="HM118" t="s">
        <v>1</v>
      </c>
      <c r="HN118" t="s">
        <v>1</v>
      </c>
      <c r="HO118" t="s">
        <v>1</v>
      </c>
      <c r="HP118" t="s">
        <v>1</v>
      </c>
      <c r="HZ118" t="s">
        <v>1</v>
      </c>
      <c r="IA118" t="s">
        <v>1</v>
      </c>
      <c r="IB118" s="10" t="s">
        <v>1</v>
      </c>
      <c r="IC118" s="10"/>
      <c r="ID118" s="10"/>
      <c r="IE118" s="10" t="s">
        <v>1</v>
      </c>
      <c r="IF118" s="10" t="s">
        <v>1</v>
      </c>
      <c r="IG118" s="10"/>
      <c r="IH118" s="10"/>
      <c r="II118" s="10"/>
      <c r="IJ118" s="10"/>
      <c r="IK118" s="10"/>
      <c r="IL118" s="10"/>
      <c r="IM118" s="10"/>
      <c r="IN118" s="10"/>
      <c r="IO118" s="10"/>
      <c r="IP118" s="10"/>
      <c r="IQ118" s="10"/>
      <c r="IR118" s="10"/>
      <c r="IS118" t="s">
        <v>978</v>
      </c>
      <c r="IT118">
        <v>193</v>
      </c>
      <c r="IW118" t="s">
        <v>1</v>
      </c>
      <c r="IX118" t="s">
        <v>1</v>
      </c>
      <c r="IY118" t="s">
        <v>808</v>
      </c>
      <c r="IZ118">
        <v>12000</v>
      </c>
      <c r="JA118" t="s">
        <v>1</v>
      </c>
      <c r="JB118" s="3" t="s">
        <v>1</v>
      </c>
      <c r="JC118" t="s">
        <v>1</v>
      </c>
      <c r="JD118" s="4" t="s">
        <v>1</v>
      </c>
      <c r="JE118" t="s">
        <v>810</v>
      </c>
      <c r="JF118">
        <v>100</v>
      </c>
      <c r="JR118" t="s">
        <v>1066</v>
      </c>
      <c r="JS118">
        <v>48.3</v>
      </c>
      <c r="JU118" t="s">
        <v>1</v>
      </c>
      <c r="JW118" t="s">
        <v>1</v>
      </c>
      <c r="JX118">
        <v>0</v>
      </c>
      <c r="JY118">
        <v>60</v>
      </c>
      <c r="JZ118" t="s">
        <v>796</v>
      </c>
      <c r="KA118" t="s">
        <v>129</v>
      </c>
      <c r="KB118" t="s">
        <v>738</v>
      </c>
      <c r="KC118" t="s">
        <v>1067</v>
      </c>
      <c r="KD118" s="1">
        <v>7.6</v>
      </c>
      <c r="KE118" s="11" t="s">
        <v>1</v>
      </c>
      <c r="KF118" s="11" t="s">
        <v>1</v>
      </c>
      <c r="KG118">
        <v>0</v>
      </c>
      <c r="KH118">
        <v>60</v>
      </c>
      <c r="KI118" t="s">
        <v>796</v>
      </c>
      <c r="KJ118" t="s">
        <v>129</v>
      </c>
      <c r="KK118" t="s">
        <v>738</v>
      </c>
    </row>
    <row r="119" spans="1:297" x14ac:dyDescent="0.2">
      <c r="A119">
        <v>118</v>
      </c>
      <c r="B119" t="s">
        <v>705</v>
      </c>
      <c r="C119" t="s">
        <v>131</v>
      </c>
      <c r="D119" t="s">
        <v>127</v>
      </c>
      <c r="E119">
        <v>17</v>
      </c>
      <c r="F119" t="s">
        <v>128</v>
      </c>
      <c r="G119" t="s">
        <v>1</v>
      </c>
      <c r="H119" s="26" t="s">
        <v>1420</v>
      </c>
      <c r="I119" t="s">
        <v>1</v>
      </c>
      <c r="J119" t="s">
        <v>1</v>
      </c>
      <c r="K119" t="s">
        <v>1</v>
      </c>
      <c r="L119" t="s">
        <v>1</v>
      </c>
      <c r="M119" t="s">
        <v>1</v>
      </c>
      <c r="N119" t="s">
        <v>1</v>
      </c>
      <c r="O119" t="s">
        <v>1</v>
      </c>
      <c r="P119" t="s">
        <v>1</v>
      </c>
      <c r="Q119" t="s">
        <v>1</v>
      </c>
      <c r="R119" t="s">
        <v>1</v>
      </c>
      <c r="S119" t="s">
        <v>1</v>
      </c>
      <c r="T119" t="s">
        <v>1</v>
      </c>
      <c r="U119" t="s">
        <v>1</v>
      </c>
      <c r="V119" t="s">
        <v>1</v>
      </c>
      <c r="W119" t="s">
        <v>1</v>
      </c>
      <c r="X119" t="s">
        <v>1</v>
      </c>
      <c r="Y119" t="s">
        <v>1</v>
      </c>
      <c r="Z119" t="s">
        <v>1</v>
      </c>
      <c r="AA119" t="s">
        <v>1</v>
      </c>
      <c r="AB119" t="s">
        <v>1</v>
      </c>
      <c r="AC119" t="s">
        <v>1</v>
      </c>
      <c r="AD119" t="s">
        <v>1</v>
      </c>
      <c r="AE119" t="s">
        <v>1</v>
      </c>
      <c r="AF119" t="s">
        <v>1</v>
      </c>
      <c r="AG119" t="s">
        <v>1</v>
      </c>
      <c r="AH119" t="s">
        <v>1</v>
      </c>
      <c r="AI119" t="s">
        <v>1</v>
      </c>
      <c r="AJ119" t="s">
        <v>1</v>
      </c>
      <c r="AK119" t="s">
        <v>1</v>
      </c>
      <c r="AL119" t="s">
        <v>1</v>
      </c>
      <c r="AM119" t="s">
        <v>1</v>
      </c>
      <c r="AN119">
        <v>118</v>
      </c>
      <c r="AO119">
        <f t="shared" si="7"/>
        <v>118</v>
      </c>
      <c r="AP119">
        <f t="shared" si="5"/>
        <v>17</v>
      </c>
      <c r="AQ119">
        <f t="shared" si="6"/>
        <v>17</v>
      </c>
      <c r="AR119" s="26" t="s">
        <v>1355</v>
      </c>
      <c r="AS119" s="26" t="s">
        <v>1356</v>
      </c>
      <c r="AT119" t="s">
        <v>710</v>
      </c>
      <c r="AU119" t="s">
        <v>790</v>
      </c>
      <c r="AV119" t="s">
        <v>789</v>
      </c>
      <c r="AW119" t="s">
        <v>1</v>
      </c>
      <c r="AX119" t="s">
        <v>1</v>
      </c>
      <c r="AY119" t="s">
        <v>737</v>
      </c>
      <c r="BA119" s="3">
        <v>3</v>
      </c>
      <c r="BB119" s="3"/>
      <c r="BC119" s="3"/>
      <c r="BD119" s="3"/>
      <c r="BE119" s="3"/>
      <c r="BF119">
        <v>2009</v>
      </c>
      <c r="BG119" s="24" t="s">
        <v>733</v>
      </c>
      <c r="BH119" s="24" t="s">
        <v>733</v>
      </c>
      <c r="BI119" s="24" t="s">
        <v>733</v>
      </c>
      <c r="BJ119" s="24" t="s">
        <v>732</v>
      </c>
      <c r="BK119" s="24" t="s">
        <v>733</v>
      </c>
      <c r="BL119" s="25" t="s">
        <v>733</v>
      </c>
      <c r="BM119" s="24" t="s">
        <v>733</v>
      </c>
      <c r="BN119" s="24" t="s">
        <v>732</v>
      </c>
      <c r="BO119" s="24" t="s">
        <v>733</v>
      </c>
      <c r="BP119" s="24" t="s">
        <v>733</v>
      </c>
      <c r="BQ119" s="24" t="s">
        <v>945</v>
      </c>
      <c r="BR119" s="24" t="s">
        <v>945</v>
      </c>
      <c r="BS119" s="25" t="s">
        <v>934</v>
      </c>
      <c r="BT119" s="24" t="s">
        <v>934</v>
      </c>
      <c r="BU119" s="24" t="s">
        <v>934</v>
      </c>
      <c r="BV119" s="24" t="s">
        <v>934</v>
      </c>
      <c r="BW119" s="24" t="s">
        <v>934</v>
      </c>
      <c r="BX119" s="24" t="s">
        <v>934</v>
      </c>
      <c r="BY119" s="25" t="s">
        <v>945</v>
      </c>
      <c r="BZ119" t="s">
        <v>1410</v>
      </c>
      <c r="CB119" t="s">
        <v>118</v>
      </c>
      <c r="CC119" s="14">
        <f>6.9*1000</f>
        <v>6900</v>
      </c>
      <c r="CD119" s="14"/>
      <c r="CE119" s="14"/>
      <c r="CF119" t="s">
        <v>793</v>
      </c>
      <c r="CG119">
        <v>100</v>
      </c>
      <c r="CH119" t="s">
        <v>805</v>
      </c>
      <c r="CI119" s="1">
        <v>0.5</v>
      </c>
      <c r="CJ119" s="10" t="s">
        <v>1442</v>
      </c>
      <c r="CK119" s="9" t="s">
        <v>1</v>
      </c>
      <c r="CL119" s="4" t="s">
        <v>1</v>
      </c>
      <c r="CM119" t="s">
        <v>847</v>
      </c>
      <c r="CN119" s="4">
        <v>114</v>
      </c>
      <c r="CO119" s="4"/>
      <c r="CP119" s="4" t="s">
        <v>1</v>
      </c>
      <c r="CQ119" s="4" t="s">
        <v>1</v>
      </c>
      <c r="CR119" s="4" t="s">
        <v>1</v>
      </c>
      <c r="CS119" s="4" t="s">
        <v>1</v>
      </c>
      <c r="CT119" s="4" t="s">
        <v>1</v>
      </c>
      <c r="CU119" s="4" t="s">
        <v>1</v>
      </c>
      <c r="CV119" t="s">
        <v>855</v>
      </c>
      <c r="CW119">
        <v>100</v>
      </c>
      <c r="CX119">
        <v>0</v>
      </c>
      <c r="CY119">
        <v>20</v>
      </c>
      <c r="CZ119" s="26" t="s">
        <v>1358</v>
      </c>
      <c r="DA119" t="s">
        <v>734</v>
      </c>
      <c r="DB119">
        <v>52.1</v>
      </c>
      <c r="DC119">
        <v>0</v>
      </c>
      <c r="DD119">
        <v>20</v>
      </c>
      <c r="DE119" s="26" t="s">
        <v>1358</v>
      </c>
      <c r="DF119" t="s">
        <v>735</v>
      </c>
      <c r="DG119">
        <v>44.7</v>
      </c>
      <c r="DH119">
        <v>0</v>
      </c>
      <c r="DI119">
        <v>20</v>
      </c>
      <c r="DJ119" s="26" t="s">
        <v>1358</v>
      </c>
      <c r="DK119" t="s">
        <v>736</v>
      </c>
      <c r="DL119">
        <v>3.2</v>
      </c>
      <c r="DM119">
        <v>0</v>
      </c>
      <c r="DN119">
        <v>20</v>
      </c>
      <c r="DO119" s="26" t="s">
        <v>1358</v>
      </c>
      <c r="DP119" t="s">
        <v>6</v>
      </c>
      <c r="DQ119" t="s">
        <v>1</v>
      </c>
      <c r="DR119">
        <v>7.9</v>
      </c>
      <c r="DS119">
        <v>0</v>
      </c>
      <c r="DT119">
        <v>20</v>
      </c>
      <c r="DU119" s="26" t="s">
        <v>1358</v>
      </c>
      <c r="EA119" t="s">
        <v>982</v>
      </c>
      <c r="EB119">
        <v>8.1000000000000014</v>
      </c>
      <c r="EC119">
        <v>0</v>
      </c>
      <c r="ED119">
        <v>20</v>
      </c>
      <c r="EE119" s="26" t="s">
        <v>1358</v>
      </c>
      <c r="EF119" s="26"/>
      <c r="FZ119" t="s">
        <v>806</v>
      </c>
      <c r="GA119">
        <v>59</v>
      </c>
      <c r="GE119" s="26" t="s">
        <v>1358</v>
      </c>
      <c r="HA119" s="5" t="s">
        <v>1</v>
      </c>
      <c r="HB119" s="4" t="s">
        <v>1</v>
      </c>
      <c r="HC119" t="s">
        <v>1</v>
      </c>
      <c r="HD119" t="s">
        <v>1</v>
      </c>
      <c r="HE119" t="s">
        <v>1</v>
      </c>
      <c r="HF119" s="5" t="s">
        <v>1063</v>
      </c>
      <c r="HG119" s="4">
        <v>1.1499999999999999</v>
      </c>
      <c r="HH119">
        <v>0</v>
      </c>
      <c r="HI119">
        <v>20</v>
      </c>
      <c r="HJ119" s="26" t="s">
        <v>1358</v>
      </c>
      <c r="HK119" t="s">
        <v>1</v>
      </c>
      <c r="HL119" t="s">
        <v>1</v>
      </c>
      <c r="HM119" t="s">
        <v>1</v>
      </c>
      <c r="HN119" t="s">
        <v>1</v>
      </c>
      <c r="HO119" t="s">
        <v>1</v>
      </c>
      <c r="HP119" t="s">
        <v>1</v>
      </c>
      <c r="HZ119" t="s">
        <v>1</v>
      </c>
      <c r="IA119" t="s">
        <v>1</v>
      </c>
      <c r="IB119" s="10" t="s">
        <v>1</v>
      </c>
      <c r="IC119" s="10"/>
      <c r="ID119" s="10"/>
      <c r="IE119" s="10" t="s">
        <v>1</v>
      </c>
      <c r="IF119" s="10" t="s">
        <v>1</v>
      </c>
      <c r="IG119" s="10"/>
      <c r="IH119" s="10"/>
      <c r="II119" s="10"/>
      <c r="IJ119" s="10"/>
      <c r="IK119" s="10"/>
      <c r="IL119" s="10"/>
      <c r="IM119" s="10"/>
      <c r="IN119" s="10"/>
      <c r="IO119" s="10"/>
      <c r="IP119" s="10"/>
      <c r="IQ119" s="10"/>
      <c r="IR119" s="10"/>
      <c r="IS119" t="s">
        <v>978</v>
      </c>
      <c r="IT119">
        <v>498</v>
      </c>
      <c r="IW119" t="s">
        <v>1</v>
      </c>
      <c r="IX119" t="s">
        <v>1</v>
      </c>
      <c r="IY119" t="s">
        <v>808</v>
      </c>
      <c r="IZ119">
        <v>12000</v>
      </c>
      <c r="JA119" t="s">
        <v>1</v>
      </c>
      <c r="JB119" s="3" t="s">
        <v>1</v>
      </c>
      <c r="JC119" t="s">
        <v>1</v>
      </c>
      <c r="JD119" s="4" t="s">
        <v>1</v>
      </c>
      <c r="JE119" t="s">
        <v>810</v>
      </c>
      <c r="JF119">
        <v>100</v>
      </c>
      <c r="JR119" t="s">
        <v>1066</v>
      </c>
      <c r="JS119">
        <v>55.8</v>
      </c>
      <c r="JU119" t="s">
        <v>1</v>
      </c>
      <c r="JW119" t="s">
        <v>1</v>
      </c>
      <c r="JX119">
        <v>0</v>
      </c>
      <c r="JY119">
        <v>60</v>
      </c>
      <c r="JZ119" t="s">
        <v>796</v>
      </c>
      <c r="KA119" t="s">
        <v>129</v>
      </c>
      <c r="KB119" t="s">
        <v>738</v>
      </c>
      <c r="KC119" t="s">
        <v>1067</v>
      </c>
      <c r="KD119" s="1">
        <v>9.6</v>
      </c>
      <c r="KE119" s="11" t="s">
        <v>1</v>
      </c>
      <c r="KF119" s="11" t="s">
        <v>1</v>
      </c>
      <c r="KG119">
        <v>0</v>
      </c>
      <c r="KH119">
        <v>60</v>
      </c>
      <c r="KI119" t="s">
        <v>796</v>
      </c>
      <c r="KJ119" t="s">
        <v>129</v>
      </c>
      <c r="KK119" t="s">
        <v>738</v>
      </c>
    </row>
    <row r="120" spans="1:297" x14ac:dyDescent="0.2">
      <c r="A120">
        <v>119</v>
      </c>
      <c r="B120" t="s">
        <v>705</v>
      </c>
      <c r="C120" t="s">
        <v>132</v>
      </c>
      <c r="D120" t="s">
        <v>127</v>
      </c>
      <c r="E120">
        <v>17</v>
      </c>
      <c r="F120" t="s">
        <v>128</v>
      </c>
      <c r="G120" t="s">
        <v>1</v>
      </c>
      <c r="H120" s="26" t="s">
        <v>1420</v>
      </c>
      <c r="I120" t="s">
        <v>1</v>
      </c>
      <c r="J120" t="s">
        <v>1</v>
      </c>
      <c r="K120" t="s">
        <v>1</v>
      </c>
      <c r="L120" t="s">
        <v>1</v>
      </c>
      <c r="M120" t="s">
        <v>1</v>
      </c>
      <c r="N120" t="s">
        <v>1</v>
      </c>
      <c r="O120" t="s">
        <v>1</v>
      </c>
      <c r="P120" t="s">
        <v>1</v>
      </c>
      <c r="Q120" t="s">
        <v>1</v>
      </c>
      <c r="R120" t="s">
        <v>1</v>
      </c>
      <c r="S120" t="s">
        <v>1</v>
      </c>
      <c r="T120" t="s">
        <v>1</v>
      </c>
      <c r="U120" t="s">
        <v>1</v>
      </c>
      <c r="V120" t="s">
        <v>1</v>
      </c>
      <c r="W120" t="s">
        <v>1</v>
      </c>
      <c r="X120" t="s">
        <v>1</v>
      </c>
      <c r="Y120" t="s">
        <v>1</v>
      </c>
      <c r="Z120" t="s">
        <v>1</v>
      </c>
      <c r="AA120" t="s">
        <v>1</v>
      </c>
      <c r="AB120" t="s">
        <v>1</v>
      </c>
      <c r="AC120" t="s">
        <v>1</v>
      </c>
      <c r="AD120" t="s">
        <v>1</v>
      </c>
      <c r="AE120" t="s">
        <v>1</v>
      </c>
      <c r="AF120" t="s">
        <v>1</v>
      </c>
      <c r="AG120" t="s">
        <v>1</v>
      </c>
      <c r="AH120" t="s">
        <v>1</v>
      </c>
      <c r="AI120" t="s">
        <v>1</v>
      </c>
      <c r="AJ120" t="s">
        <v>1</v>
      </c>
      <c r="AK120" t="s">
        <v>1</v>
      </c>
      <c r="AL120" t="s">
        <v>1</v>
      </c>
      <c r="AM120" t="s">
        <v>1</v>
      </c>
      <c r="AN120">
        <v>119</v>
      </c>
      <c r="AO120">
        <f t="shared" si="7"/>
        <v>119</v>
      </c>
      <c r="AP120">
        <f t="shared" si="5"/>
        <v>17</v>
      </c>
      <c r="AQ120">
        <f t="shared" si="6"/>
        <v>17</v>
      </c>
      <c r="AR120" s="26" t="s">
        <v>1355</v>
      </c>
      <c r="AS120" s="26" t="s">
        <v>1356</v>
      </c>
      <c r="AT120" t="s">
        <v>710</v>
      </c>
      <c r="AU120" t="s">
        <v>790</v>
      </c>
      <c r="AV120" t="s">
        <v>789</v>
      </c>
      <c r="AW120" t="s">
        <v>1</v>
      </c>
      <c r="AX120" t="s">
        <v>1</v>
      </c>
      <c r="AY120" t="s">
        <v>737</v>
      </c>
      <c r="BA120" s="3">
        <v>3</v>
      </c>
      <c r="BB120" s="3"/>
      <c r="BC120" s="3"/>
      <c r="BD120" s="3"/>
      <c r="BE120" s="3"/>
      <c r="BF120">
        <v>2009</v>
      </c>
      <c r="BG120" s="24" t="s">
        <v>733</v>
      </c>
      <c r="BH120" s="24" t="s">
        <v>733</v>
      </c>
      <c r="BI120" s="24" t="s">
        <v>733</v>
      </c>
      <c r="BJ120" s="24" t="s">
        <v>732</v>
      </c>
      <c r="BK120" s="24" t="s">
        <v>733</v>
      </c>
      <c r="BL120" s="25" t="s">
        <v>733</v>
      </c>
      <c r="BM120" s="24" t="s">
        <v>733</v>
      </c>
      <c r="BN120" s="24" t="s">
        <v>732</v>
      </c>
      <c r="BO120" s="24" t="s">
        <v>733</v>
      </c>
      <c r="BP120" s="24" t="s">
        <v>733</v>
      </c>
      <c r="BQ120" s="24" t="s">
        <v>945</v>
      </c>
      <c r="BR120" s="24" t="s">
        <v>945</v>
      </c>
      <c r="BS120" s="25" t="s">
        <v>934</v>
      </c>
      <c r="BT120" s="24" t="s">
        <v>934</v>
      </c>
      <c r="BU120" s="24" t="s">
        <v>934</v>
      </c>
      <c r="BV120" s="24" t="s">
        <v>934</v>
      </c>
      <c r="BW120" s="24" t="s">
        <v>934</v>
      </c>
      <c r="BX120" s="24" t="s">
        <v>934</v>
      </c>
      <c r="BY120" s="25" t="s">
        <v>945</v>
      </c>
      <c r="BZ120" t="s">
        <v>1410</v>
      </c>
      <c r="CB120" t="s">
        <v>118</v>
      </c>
      <c r="CC120" s="14">
        <f>7.6*1000</f>
        <v>7600</v>
      </c>
      <c r="CD120" s="14"/>
      <c r="CE120" s="14"/>
      <c r="CF120" t="s">
        <v>793</v>
      </c>
      <c r="CG120">
        <v>100</v>
      </c>
      <c r="CH120" t="s">
        <v>805</v>
      </c>
      <c r="CI120" s="1">
        <v>0.5</v>
      </c>
      <c r="CJ120" s="10" t="s">
        <v>1442</v>
      </c>
      <c r="CK120" s="9" t="s">
        <v>1</v>
      </c>
      <c r="CL120" s="4" t="s">
        <v>1</v>
      </c>
      <c r="CM120" t="s">
        <v>847</v>
      </c>
      <c r="CN120" s="4">
        <v>123</v>
      </c>
      <c r="CO120" s="4"/>
      <c r="CP120" s="4" t="s">
        <v>1</v>
      </c>
      <c r="CQ120" s="4" t="s">
        <v>1</v>
      </c>
      <c r="CR120" s="4" t="s">
        <v>1</v>
      </c>
      <c r="CS120" s="4" t="s">
        <v>1</v>
      </c>
      <c r="CT120" s="4" t="s">
        <v>1</v>
      </c>
      <c r="CU120" s="4" t="s">
        <v>1</v>
      </c>
      <c r="CV120" t="s">
        <v>855</v>
      </c>
      <c r="CW120">
        <v>100</v>
      </c>
      <c r="CX120">
        <v>0</v>
      </c>
      <c r="CY120">
        <v>20</v>
      </c>
      <c r="CZ120" s="26" t="s">
        <v>1358</v>
      </c>
      <c r="DA120" t="s">
        <v>734</v>
      </c>
      <c r="DB120">
        <v>52.1</v>
      </c>
      <c r="DC120">
        <v>0</v>
      </c>
      <c r="DD120">
        <v>20</v>
      </c>
      <c r="DE120" s="26" t="s">
        <v>1358</v>
      </c>
      <c r="DF120" t="s">
        <v>735</v>
      </c>
      <c r="DG120">
        <v>44.7</v>
      </c>
      <c r="DH120">
        <v>0</v>
      </c>
      <c r="DI120">
        <v>20</v>
      </c>
      <c r="DJ120" s="26" t="s">
        <v>1358</v>
      </c>
      <c r="DK120" t="s">
        <v>736</v>
      </c>
      <c r="DL120">
        <v>3.2</v>
      </c>
      <c r="DM120">
        <v>0</v>
      </c>
      <c r="DN120">
        <v>20</v>
      </c>
      <c r="DO120" s="26" t="s">
        <v>1358</v>
      </c>
      <c r="DP120" t="s">
        <v>6</v>
      </c>
      <c r="DQ120" t="s">
        <v>1</v>
      </c>
      <c r="DR120">
        <v>7.9</v>
      </c>
      <c r="DS120">
        <v>0</v>
      </c>
      <c r="DT120">
        <v>20</v>
      </c>
      <c r="DU120" s="26" t="s">
        <v>1358</v>
      </c>
      <c r="EA120" t="s">
        <v>982</v>
      </c>
      <c r="EB120">
        <v>8.1000000000000014</v>
      </c>
      <c r="EC120">
        <v>0</v>
      </c>
      <c r="ED120">
        <v>20</v>
      </c>
      <c r="EE120" s="26" t="s">
        <v>1358</v>
      </c>
      <c r="EF120" s="26"/>
      <c r="FZ120" t="s">
        <v>806</v>
      </c>
      <c r="GA120">
        <v>59</v>
      </c>
      <c r="GE120" s="26" t="s">
        <v>1358</v>
      </c>
      <c r="HA120" s="5" t="s">
        <v>1</v>
      </c>
      <c r="HB120" s="4" t="s">
        <v>1</v>
      </c>
      <c r="HC120" t="s">
        <v>1</v>
      </c>
      <c r="HD120" t="s">
        <v>1</v>
      </c>
      <c r="HE120" t="s">
        <v>1</v>
      </c>
      <c r="HF120" s="5" t="s">
        <v>1063</v>
      </c>
      <c r="HG120" s="4">
        <v>1.1499999999999999</v>
      </c>
      <c r="HH120">
        <v>0</v>
      </c>
      <c r="HI120">
        <v>20</v>
      </c>
      <c r="HJ120" s="26" t="s">
        <v>1358</v>
      </c>
      <c r="HK120" t="s">
        <v>1</v>
      </c>
      <c r="HL120" t="s">
        <v>1</v>
      </c>
      <c r="HM120" t="s">
        <v>1</v>
      </c>
      <c r="HN120" t="s">
        <v>1</v>
      </c>
      <c r="HO120" t="s">
        <v>1</v>
      </c>
      <c r="HP120" t="s">
        <v>1</v>
      </c>
      <c r="HZ120" t="s">
        <v>1</v>
      </c>
      <c r="IA120" t="s">
        <v>1</v>
      </c>
      <c r="IB120" s="10" t="s">
        <v>1</v>
      </c>
      <c r="IC120" s="10"/>
      <c r="ID120" s="10"/>
      <c r="IE120" s="10" t="s">
        <v>1</v>
      </c>
      <c r="IF120" s="10" t="s">
        <v>1</v>
      </c>
      <c r="IG120" s="10"/>
      <c r="IH120" s="10"/>
      <c r="II120" s="10"/>
      <c r="IJ120" s="10"/>
      <c r="IK120" s="10"/>
      <c r="IL120" s="10"/>
      <c r="IM120" s="10"/>
      <c r="IN120" s="10"/>
      <c r="IO120" s="10"/>
      <c r="IP120" s="10"/>
      <c r="IQ120" s="10"/>
      <c r="IR120" s="10"/>
      <c r="IS120" t="s">
        <v>978</v>
      </c>
      <c r="IT120">
        <v>802</v>
      </c>
      <c r="IW120" t="s">
        <v>1</v>
      </c>
      <c r="IX120" t="s">
        <v>1</v>
      </c>
      <c r="IY120" t="s">
        <v>808</v>
      </c>
      <c r="IZ120">
        <v>12000</v>
      </c>
      <c r="JA120" t="s">
        <v>1</v>
      </c>
      <c r="JB120" s="3" t="s">
        <v>1</v>
      </c>
      <c r="JC120" t="s">
        <v>1</v>
      </c>
      <c r="JD120" s="4" t="s">
        <v>1</v>
      </c>
      <c r="JE120" t="s">
        <v>810</v>
      </c>
      <c r="JF120">
        <v>100</v>
      </c>
      <c r="JR120" t="s">
        <v>1066</v>
      </c>
      <c r="JS120">
        <v>52.2</v>
      </c>
      <c r="JU120" t="s">
        <v>1</v>
      </c>
      <c r="JW120" t="s">
        <v>1</v>
      </c>
      <c r="JX120">
        <v>0</v>
      </c>
      <c r="JY120">
        <v>60</v>
      </c>
      <c r="JZ120" t="s">
        <v>796</v>
      </c>
      <c r="KA120" t="s">
        <v>129</v>
      </c>
      <c r="KB120" t="s">
        <v>738</v>
      </c>
      <c r="KC120" t="s">
        <v>1067</v>
      </c>
      <c r="KD120" s="1">
        <v>11.3</v>
      </c>
      <c r="KE120" s="11" t="s">
        <v>1</v>
      </c>
      <c r="KF120" s="11" t="s">
        <v>1</v>
      </c>
      <c r="KG120">
        <v>0</v>
      </c>
      <c r="KH120">
        <v>60</v>
      </c>
      <c r="KI120" t="s">
        <v>796</v>
      </c>
      <c r="KJ120" t="s">
        <v>129</v>
      </c>
      <c r="KK120" t="s">
        <v>738</v>
      </c>
    </row>
    <row r="121" spans="1:297" x14ac:dyDescent="0.2">
      <c r="A121">
        <v>120</v>
      </c>
      <c r="B121" t="s">
        <v>705</v>
      </c>
      <c r="C121" t="s">
        <v>1313</v>
      </c>
      <c r="D121" t="s">
        <v>127</v>
      </c>
      <c r="E121">
        <v>17</v>
      </c>
      <c r="F121" t="s">
        <v>128</v>
      </c>
      <c r="G121" t="s">
        <v>1</v>
      </c>
      <c r="H121" s="26" t="s">
        <v>1420</v>
      </c>
      <c r="I121" t="s">
        <v>1</v>
      </c>
      <c r="J121" t="s">
        <v>1</v>
      </c>
      <c r="K121" t="s">
        <v>1</v>
      </c>
      <c r="L121" t="s">
        <v>1</v>
      </c>
      <c r="M121" t="s">
        <v>1</v>
      </c>
      <c r="N121" t="s">
        <v>1</v>
      </c>
      <c r="O121" t="s">
        <v>1</v>
      </c>
      <c r="P121" t="s">
        <v>1</v>
      </c>
      <c r="Q121" t="s">
        <v>1</v>
      </c>
      <c r="R121" t="s">
        <v>1</v>
      </c>
      <c r="S121" t="s">
        <v>1</v>
      </c>
      <c r="T121" t="s">
        <v>1</v>
      </c>
      <c r="U121" t="s">
        <v>1</v>
      </c>
      <c r="V121" t="s">
        <v>1</v>
      </c>
      <c r="W121" t="s">
        <v>1</v>
      </c>
      <c r="X121" t="s">
        <v>1</v>
      </c>
      <c r="Y121" t="s">
        <v>1</v>
      </c>
      <c r="Z121" t="s">
        <v>1</v>
      </c>
      <c r="AA121" t="s">
        <v>1</v>
      </c>
      <c r="AB121" t="s">
        <v>1</v>
      </c>
      <c r="AC121" t="s">
        <v>1</v>
      </c>
      <c r="AD121" t="s">
        <v>1</v>
      </c>
      <c r="AE121" t="s">
        <v>1</v>
      </c>
      <c r="AF121" t="s">
        <v>1</v>
      </c>
      <c r="AG121" t="s">
        <v>1</v>
      </c>
      <c r="AH121" t="s">
        <v>1</v>
      </c>
      <c r="AI121" t="s">
        <v>1</v>
      </c>
      <c r="AJ121" t="s">
        <v>1</v>
      </c>
      <c r="AK121" t="s">
        <v>1</v>
      </c>
      <c r="AL121" t="s">
        <v>1</v>
      </c>
      <c r="AM121" t="s">
        <v>1</v>
      </c>
      <c r="AN121">
        <v>120</v>
      </c>
      <c r="AO121">
        <f t="shared" si="7"/>
        <v>120</v>
      </c>
      <c r="AP121">
        <f t="shared" si="5"/>
        <v>17</v>
      </c>
      <c r="AQ121">
        <f t="shared" si="6"/>
        <v>17</v>
      </c>
      <c r="AR121" s="26" t="s">
        <v>1355</v>
      </c>
      <c r="AS121" s="26" t="s">
        <v>1356</v>
      </c>
      <c r="AT121" t="s">
        <v>710</v>
      </c>
      <c r="AU121" t="s">
        <v>790</v>
      </c>
      <c r="AV121" t="s">
        <v>789</v>
      </c>
      <c r="AW121" t="s">
        <v>1</v>
      </c>
      <c r="AX121" t="s">
        <v>1</v>
      </c>
      <c r="AY121" t="s">
        <v>737</v>
      </c>
      <c r="BA121" s="3">
        <v>3</v>
      </c>
      <c r="BB121" s="3"/>
      <c r="BC121" s="3"/>
      <c r="BD121" s="3"/>
      <c r="BE121" s="3"/>
      <c r="BF121">
        <v>2009</v>
      </c>
      <c r="BG121" s="24" t="s">
        <v>733</v>
      </c>
      <c r="BH121" s="24" t="s">
        <v>733</v>
      </c>
      <c r="BI121" s="24" t="s">
        <v>733</v>
      </c>
      <c r="BJ121" s="24" t="s">
        <v>732</v>
      </c>
      <c r="BK121" s="24" t="s">
        <v>733</v>
      </c>
      <c r="BL121" s="25" t="s">
        <v>733</v>
      </c>
      <c r="BM121" s="24" t="s">
        <v>733</v>
      </c>
      <c r="BN121" s="24" t="s">
        <v>732</v>
      </c>
      <c r="BO121" s="24" t="s">
        <v>733</v>
      </c>
      <c r="BP121" s="24" t="s">
        <v>733</v>
      </c>
      <c r="BQ121" s="24" t="s">
        <v>945</v>
      </c>
      <c r="BR121" s="24" t="s">
        <v>945</v>
      </c>
      <c r="BS121" s="25" t="s">
        <v>934</v>
      </c>
      <c r="BT121" s="24" t="s">
        <v>934</v>
      </c>
      <c r="BU121" s="24" t="s">
        <v>934</v>
      </c>
      <c r="BV121" s="24" t="s">
        <v>934</v>
      </c>
      <c r="BW121" s="24" t="s">
        <v>934</v>
      </c>
      <c r="BX121" s="24" t="s">
        <v>934</v>
      </c>
      <c r="BY121" s="25" t="s">
        <v>945</v>
      </c>
      <c r="BZ121" t="s">
        <v>1410</v>
      </c>
      <c r="CB121" t="s">
        <v>118</v>
      </c>
      <c r="CC121" s="14">
        <f>9.4*1000</f>
        <v>9400</v>
      </c>
      <c r="CD121" s="14"/>
      <c r="CE121" s="14"/>
      <c r="CF121" t="s">
        <v>793</v>
      </c>
      <c r="CG121">
        <v>100</v>
      </c>
      <c r="CH121" t="s">
        <v>805</v>
      </c>
      <c r="CI121" s="1">
        <v>0.5</v>
      </c>
      <c r="CJ121" s="10" t="s">
        <v>1442</v>
      </c>
      <c r="CK121" s="9" t="s">
        <v>1</v>
      </c>
      <c r="CL121" s="4" t="s">
        <v>1</v>
      </c>
      <c r="CM121" t="s">
        <v>847</v>
      </c>
      <c r="CN121" s="4">
        <v>141</v>
      </c>
      <c r="CO121" s="4"/>
      <c r="CP121" s="4" t="s">
        <v>1</v>
      </c>
      <c r="CQ121" s="4" t="s">
        <v>1</v>
      </c>
      <c r="CR121" s="4" t="s">
        <v>1</v>
      </c>
      <c r="CS121" s="4" t="s">
        <v>1</v>
      </c>
      <c r="CT121" s="4" t="s">
        <v>1</v>
      </c>
      <c r="CU121" s="4" t="s">
        <v>1</v>
      </c>
      <c r="CV121" t="s">
        <v>855</v>
      </c>
      <c r="CW121">
        <v>100</v>
      </c>
      <c r="CX121">
        <v>0</v>
      </c>
      <c r="CY121">
        <v>20</v>
      </c>
      <c r="CZ121" s="26" t="s">
        <v>1358</v>
      </c>
      <c r="DA121" t="s">
        <v>734</v>
      </c>
      <c r="DB121">
        <v>52.1</v>
      </c>
      <c r="DC121">
        <v>0</v>
      </c>
      <c r="DD121">
        <v>20</v>
      </c>
      <c r="DE121" s="26" t="s">
        <v>1358</v>
      </c>
      <c r="DF121" t="s">
        <v>735</v>
      </c>
      <c r="DG121">
        <v>44.7</v>
      </c>
      <c r="DH121">
        <v>0</v>
      </c>
      <c r="DI121">
        <v>20</v>
      </c>
      <c r="DJ121" s="26" t="s">
        <v>1358</v>
      </c>
      <c r="DK121" t="s">
        <v>736</v>
      </c>
      <c r="DL121">
        <v>3.2</v>
      </c>
      <c r="DM121">
        <v>0</v>
      </c>
      <c r="DN121">
        <v>20</v>
      </c>
      <c r="DO121" s="26" t="s">
        <v>1358</v>
      </c>
      <c r="DP121" t="s">
        <v>6</v>
      </c>
      <c r="DQ121" t="s">
        <v>1</v>
      </c>
      <c r="DR121">
        <v>7.9</v>
      </c>
      <c r="DS121">
        <v>0</v>
      </c>
      <c r="DT121">
        <v>20</v>
      </c>
      <c r="DU121" s="26" t="s">
        <v>1358</v>
      </c>
      <c r="EA121" t="s">
        <v>982</v>
      </c>
      <c r="EB121">
        <v>8.1000000000000014</v>
      </c>
      <c r="EC121">
        <v>0</v>
      </c>
      <c r="ED121">
        <v>20</v>
      </c>
      <c r="EE121" s="26" t="s">
        <v>1358</v>
      </c>
      <c r="EF121" s="26"/>
      <c r="FZ121" t="s">
        <v>806</v>
      </c>
      <c r="GA121">
        <v>59</v>
      </c>
      <c r="GE121" s="26" t="s">
        <v>1358</v>
      </c>
      <c r="HA121" s="5" t="s">
        <v>1</v>
      </c>
      <c r="HB121" s="4" t="s">
        <v>1</v>
      </c>
      <c r="HC121" t="s">
        <v>1</v>
      </c>
      <c r="HD121" t="s">
        <v>1</v>
      </c>
      <c r="HE121" t="s">
        <v>1</v>
      </c>
      <c r="HF121" s="5" t="s">
        <v>1063</v>
      </c>
      <c r="HG121" s="4">
        <v>1.1499999999999999</v>
      </c>
      <c r="HH121">
        <v>0</v>
      </c>
      <c r="HI121">
        <v>20</v>
      </c>
      <c r="HJ121" s="26" t="s">
        <v>1358</v>
      </c>
      <c r="HK121" t="s">
        <v>1</v>
      </c>
      <c r="HL121" t="s">
        <v>1</v>
      </c>
      <c r="HM121" t="s">
        <v>1</v>
      </c>
      <c r="HN121" t="s">
        <v>1</v>
      </c>
      <c r="HO121" t="s">
        <v>1</v>
      </c>
      <c r="HP121" t="s">
        <v>1</v>
      </c>
      <c r="HZ121" t="s">
        <v>1295</v>
      </c>
      <c r="IA121">
        <v>183</v>
      </c>
      <c r="IB121" s="10" t="s">
        <v>821</v>
      </c>
      <c r="IC121" s="10"/>
      <c r="ID121" s="10"/>
      <c r="IE121" s="10" t="s">
        <v>1</v>
      </c>
      <c r="IF121" s="10" t="s">
        <v>1</v>
      </c>
      <c r="IG121" s="10"/>
      <c r="IH121" s="10"/>
      <c r="II121" s="10"/>
      <c r="IJ121" s="10"/>
      <c r="IK121" s="10"/>
      <c r="IL121" s="10"/>
      <c r="IM121" s="10"/>
      <c r="IN121" s="10"/>
      <c r="IO121" s="10"/>
      <c r="IP121" s="10"/>
      <c r="IQ121" s="10"/>
      <c r="IR121" s="10"/>
      <c r="IS121" t="s">
        <v>978</v>
      </c>
      <c r="IT121">
        <v>114</v>
      </c>
      <c r="IW121" t="s">
        <v>1</v>
      </c>
      <c r="IX121" t="s">
        <v>1</v>
      </c>
      <c r="IY121" t="s">
        <v>808</v>
      </c>
      <c r="IZ121">
        <v>12000</v>
      </c>
      <c r="JA121" t="s">
        <v>1</v>
      </c>
      <c r="JB121" s="3" t="s">
        <v>1</v>
      </c>
      <c r="JC121" t="s">
        <v>1</v>
      </c>
      <c r="JD121" s="4" t="s">
        <v>1</v>
      </c>
      <c r="JE121" t="s">
        <v>810</v>
      </c>
      <c r="JF121">
        <v>100</v>
      </c>
      <c r="JR121" t="s">
        <v>1066</v>
      </c>
      <c r="JS121">
        <v>19</v>
      </c>
      <c r="JU121" t="s">
        <v>1</v>
      </c>
      <c r="JW121" t="s">
        <v>1</v>
      </c>
      <c r="JX121">
        <v>0</v>
      </c>
      <c r="JY121">
        <v>60</v>
      </c>
      <c r="JZ121" t="s">
        <v>796</v>
      </c>
      <c r="KA121" t="s">
        <v>129</v>
      </c>
      <c r="KB121" t="s">
        <v>738</v>
      </c>
      <c r="KC121" t="s">
        <v>1067</v>
      </c>
      <c r="KD121" s="1">
        <v>7.8</v>
      </c>
      <c r="KE121" s="11" t="s">
        <v>1</v>
      </c>
      <c r="KF121" s="11" t="s">
        <v>1</v>
      </c>
      <c r="KG121">
        <v>0</v>
      </c>
      <c r="KH121">
        <v>60</v>
      </c>
      <c r="KI121" t="s">
        <v>796</v>
      </c>
      <c r="KJ121" t="s">
        <v>129</v>
      </c>
      <c r="KK121" t="s">
        <v>738</v>
      </c>
    </row>
    <row r="122" spans="1:297" x14ac:dyDescent="0.2">
      <c r="A122">
        <v>121</v>
      </c>
      <c r="B122" t="s">
        <v>705</v>
      </c>
      <c r="C122" t="s">
        <v>135</v>
      </c>
      <c r="D122" t="s">
        <v>133</v>
      </c>
      <c r="E122">
        <v>18</v>
      </c>
      <c r="F122" t="s">
        <v>134</v>
      </c>
      <c r="G122" t="s">
        <v>1</v>
      </c>
      <c r="H122" s="26" t="s">
        <v>1420</v>
      </c>
      <c r="I122" t="s">
        <v>1</v>
      </c>
      <c r="J122" t="s">
        <v>1</v>
      </c>
      <c r="K122" t="s">
        <v>1</v>
      </c>
      <c r="L122" t="s">
        <v>1</v>
      </c>
      <c r="M122" t="s">
        <v>1</v>
      </c>
      <c r="N122" t="s">
        <v>1</v>
      </c>
      <c r="O122" t="s">
        <v>1</v>
      </c>
      <c r="P122" t="s">
        <v>1</v>
      </c>
      <c r="Q122" t="s">
        <v>1</v>
      </c>
      <c r="R122" t="s">
        <v>1</v>
      </c>
      <c r="S122" t="s">
        <v>1</v>
      </c>
      <c r="T122" t="s">
        <v>1</v>
      </c>
      <c r="U122" t="s">
        <v>1</v>
      </c>
      <c r="V122" t="s">
        <v>1</v>
      </c>
      <c r="W122" t="s">
        <v>1</v>
      </c>
      <c r="X122" t="s">
        <v>1</v>
      </c>
      <c r="Y122" t="s">
        <v>1</v>
      </c>
      <c r="Z122" t="s">
        <v>1</v>
      </c>
      <c r="AA122" t="s">
        <v>1</v>
      </c>
      <c r="AB122" t="s">
        <v>1</v>
      </c>
      <c r="AC122" t="s">
        <v>1</v>
      </c>
      <c r="AD122" t="s">
        <v>1</v>
      </c>
      <c r="AE122" t="s">
        <v>1</v>
      </c>
      <c r="AF122" t="s">
        <v>1</v>
      </c>
      <c r="AG122" t="s">
        <v>1</v>
      </c>
      <c r="AH122" t="s">
        <v>1</v>
      </c>
      <c r="AI122" t="s">
        <v>1</v>
      </c>
      <c r="AJ122" t="s">
        <v>1</v>
      </c>
      <c r="AK122" t="s">
        <v>1</v>
      </c>
      <c r="AL122" t="s">
        <v>1</v>
      </c>
      <c r="AM122" t="s">
        <v>1</v>
      </c>
      <c r="AN122">
        <v>121</v>
      </c>
      <c r="AO122">
        <f t="shared" si="7"/>
        <v>121</v>
      </c>
      <c r="AP122">
        <f t="shared" si="5"/>
        <v>18</v>
      </c>
      <c r="AQ122">
        <f t="shared" si="6"/>
        <v>18</v>
      </c>
      <c r="AR122" s="26" t="s">
        <v>1355</v>
      </c>
      <c r="AS122" s="26" t="s">
        <v>1356</v>
      </c>
      <c r="AT122" t="s">
        <v>708</v>
      </c>
      <c r="AU122" t="s">
        <v>1</v>
      </c>
      <c r="AV122" t="s">
        <v>1</v>
      </c>
      <c r="AW122">
        <v>30.91</v>
      </c>
      <c r="AX122">
        <v>75.849999999999994</v>
      </c>
      <c r="AY122" t="s">
        <v>737</v>
      </c>
      <c r="BA122" s="3">
        <v>3</v>
      </c>
      <c r="BB122" s="3"/>
      <c r="BC122" s="3"/>
      <c r="BD122" s="3"/>
      <c r="BE122" s="3"/>
      <c r="BF122">
        <v>1988</v>
      </c>
      <c r="BG122" s="24" t="s">
        <v>733</v>
      </c>
      <c r="BH122" s="24" t="s">
        <v>733</v>
      </c>
      <c r="BI122" s="24" t="s">
        <v>733</v>
      </c>
      <c r="BJ122" s="24" t="s">
        <v>732</v>
      </c>
      <c r="BK122" s="24" t="s">
        <v>733</v>
      </c>
      <c r="BL122" s="25" t="s">
        <v>733</v>
      </c>
      <c r="BM122" s="24" t="s">
        <v>733</v>
      </c>
      <c r="BN122" s="24" t="s">
        <v>732</v>
      </c>
      <c r="BO122" s="24" t="s">
        <v>733</v>
      </c>
      <c r="BP122" s="24" t="s">
        <v>733</v>
      </c>
      <c r="BQ122" s="24" t="s">
        <v>945</v>
      </c>
      <c r="BR122" s="24" t="s">
        <v>945</v>
      </c>
      <c r="BS122" s="25" t="s">
        <v>934</v>
      </c>
      <c r="BT122" s="24" t="s">
        <v>934</v>
      </c>
      <c r="BU122" s="24" t="s">
        <v>934</v>
      </c>
      <c r="BV122" s="24" t="s">
        <v>934</v>
      </c>
      <c r="BW122" s="24" t="s">
        <v>934</v>
      </c>
      <c r="BX122" s="24" t="s">
        <v>934</v>
      </c>
      <c r="BY122" s="25" t="s">
        <v>945</v>
      </c>
      <c r="BZ122" t="s">
        <v>1410</v>
      </c>
      <c r="CB122" t="s">
        <v>118</v>
      </c>
      <c r="CC122" s="4">
        <f>20.1/848*120*1000</f>
        <v>2844.3396226415098</v>
      </c>
      <c r="CD122" s="4"/>
      <c r="CE122" s="4"/>
      <c r="CF122" t="s">
        <v>793</v>
      </c>
      <c r="CG122">
        <v>100</v>
      </c>
      <c r="CH122" t="s">
        <v>805</v>
      </c>
      <c r="CI122" s="1">
        <v>0.43</v>
      </c>
      <c r="CJ122" s="9" t="s">
        <v>1</v>
      </c>
      <c r="CK122" s="9" t="s">
        <v>1</v>
      </c>
      <c r="CL122" s="4" t="s">
        <v>1</v>
      </c>
      <c r="CM122" t="s">
        <v>847</v>
      </c>
      <c r="CN122" s="4">
        <f>141/848*120</f>
        <v>19.952830188679247</v>
      </c>
      <c r="CO122" s="4"/>
      <c r="CP122" s="4" t="s">
        <v>1</v>
      </c>
      <c r="CQ122" s="4" t="s">
        <v>1</v>
      </c>
      <c r="CR122" s="4" t="s">
        <v>1</v>
      </c>
      <c r="CS122" s="4" t="s">
        <v>1</v>
      </c>
      <c r="CT122" s="4" t="s">
        <v>1</v>
      </c>
      <c r="CU122" s="4" t="s">
        <v>1</v>
      </c>
      <c r="CV122" t="s">
        <v>855</v>
      </c>
      <c r="CW122">
        <v>100</v>
      </c>
      <c r="CX122">
        <v>0</v>
      </c>
      <c r="CY122">
        <v>15</v>
      </c>
      <c r="CZ122" s="26" t="s">
        <v>1358</v>
      </c>
      <c r="DA122" t="s">
        <v>734</v>
      </c>
      <c r="DB122">
        <v>72.5</v>
      </c>
      <c r="DC122">
        <v>0</v>
      </c>
      <c r="DD122">
        <v>15</v>
      </c>
      <c r="DE122" s="26" t="s">
        <v>1358</v>
      </c>
      <c r="DF122" t="s">
        <v>735</v>
      </c>
      <c r="DG122">
        <v>17.5</v>
      </c>
      <c r="DH122">
        <v>0</v>
      </c>
      <c r="DI122">
        <v>15</v>
      </c>
      <c r="DJ122" s="26" t="s">
        <v>1358</v>
      </c>
      <c r="DK122" t="s">
        <v>736</v>
      </c>
      <c r="DL122">
        <v>9.6</v>
      </c>
      <c r="DM122">
        <v>0</v>
      </c>
      <c r="DN122">
        <v>15</v>
      </c>
      <c r="DO122" s="26" t="s">
        <v>1358</v>
      </c>
      <c r="DP122" t="s">
        <v>6</v>
      </c>
      <c r="DQ122" t="s">
        <v>813</v>
      </c>
      <c r="DR122">
        <v>7.6</v>
      </c>
      <c r="DS122">
        <v>0</v>
      </c>
      <c r="DT122">
        <v>15</v>
      </c>
      <c r="DU122" s="26" t="s">
        <v>1358</v>
      </c>
      <c r="EA122" t="s">
        <v>982</v>
      </c>
      <c r="EB122">
        <v>3.2</v>
      </c>
      <c r="EC122">
        <v>0</v>
      </c>
      <c r="ED122">
        <v>15</v>
      </c>
      <c r="EE122" s="26" t="s">
        <v>1358</v>
      </c>
      <c r="EF122" s="26"/>
      <c r="FZ122" t="s">
        <v>806</v>
      </c>
      <c r="GA122">
        <v>0</v>
      </c>
      <c r="GE122" s="26" t="s">
        <v>1358</v>
      </c>
      <c r="HA122" s="5" t="s">
        <v>1069</v>
      </c>
      <c r="HB122" s="4">
        <v>8.8000000000000007</v>
      </c>
      <c r="HC122">
        <v>0</v>
      </c>
      <c r="HD122">
        <v>15</v>
      </c>
      <c r="HE122" s="26" t="s">
        <v>1358</v>
      </c>
      <c r="HF122" s="5" t="s">
        <v>1063</v>
      </c>
      <c r="HG122" s="4">
        <v>0.42666666666666681</v>
      </c>
      <c r="HH122">
        <v>0</v>
      </c>
      <c r="HI122">
        <v>15</v>
      </c>
      <c r="HJ122" s="26" t="s">
        <v>1358</v>
      </c>
      <c r="HK122" t="s">
        <v>815</v>
      </c>
      <c r="HL122">
        <v>1.35</v>
      </c>
      <c r="HM122">
        <v>0</v>
      </c>
      <c r="HN122">
        <v>15</v>
      </c>
      <c r="HO122" t="s">
        <v>1</v>
      </c>
      <c r="HP122" s="26" t="s">
        <v>1358</v>
      </c>
      <c r="HZ122" t="s">
        <v>1</v>
      </c>
      <c r="IA122" t="s">
        <v>1</v>
      </c>
      <c r="IB122" s="10" t="s">
        <v>1</v>
      </c>
      <c r="IC122" s="10"/>
      <c r="ID122" s="10"/>
      <c r="IE122" s="10" t="s">
        <v>1</v>
      </c>
      <c r="IF122" s="10" t="s">
        <v>1</v>
      </c>
      <c r="IG122" s="10"/>
      <c r="IH122" s="10"/>
      <c r="II122" s="10"/>
      <c r="IJ122" s="10"/>
      <c r="IK122" s="10"/>
      <c r="IL122" s="10"/>
      <c r="IM122" s="10"/>
      <c r="IN122" s="10"/>
      <c r="IO122" s="10"/>
      <c r="IP122" s="10"/>
      <c r="IQ122" s="10"/>
      <c r="IR122" s="10"/>
      <c r="IS122" t="s">
        <v>1</v>
      </c>
      <c r="IT122" t="s">
        <v>1</v>
      </c>
      <c r="IW122" t="s">
        <v>1</v>
      </c>
      <c r="IX122" t="s">
        <v>1</v>
      </c>
      <c r="IY122" t="s">
        <v>808</v>
      </c>
      <c r="IZ122">
        <v>18000</v>
      </c>
      <c r="JA122" t="s">
        <v>1</v>
      </c>
      <c r="JB122" s="3" t="s">
        <v>1</v>
      </c>
      <c r="JC122" t="s">
        <v>1</v>
      </c>
      <c r="JD122" s="4" t="s">
        <v>1</v>
      </c>
      <c r="JE122" t="s">
        <v>1</v>
      </c>
      <c r="JF122" t="s">
        <v>1</v>
      </c>
      <c r="JR122" t="s">
        <v>1066</v>
      </c>
      <c r="JS122">
        <v>31.9</v>
      </c>
      <c r="JU122" t="s">
        <v>1</v>
      </c>
      <c r="JW122" t="s">
        <v>1</v>
      </c>
      <c r="JX122">
        <v>0</v>
      </c>
      <c r="JY122">
        <v>43</v>
      </c>
      <c r="JZ122" t="s">
        <v>796</v>
      </c>
      <c r="KA122" t="s">
        <v>16</v>
      </c>
      <c r="KB122" t="s">
        <v>738</v>
      </c>
      <c r="KC122" t="s">
        <v>1</v>
      </c>
      <c r="KD122" t="s">
        <v>1</v>
      </c>
      <c r="KE122" t="s">
        <v>1</v>
      </c>
      <c r="KF122" t="s">
        <v>1</v>
      </c>
      <c r="KG122" t="s">
        <v>1</v>
      </c>
      <c r="KH122" t="s">
        <v>1</v>
      </c>
      <c r="KI122" t="s">
        <v>1</v>
      </c>
      <c r="KJ122" t="s">
        <v>1</v>
      </c>
      <c r="KK122" t="s">
        <v>1</v>
      </c>
    </row>
    <row r="123" spans="1:297" x14ac:dyDescent="0.2">
      <c r="A123">
        <v>122</v>
      </c>
      <c r="B123" t="s">
        <v>705</v>
      </c>
      <c r="C123" t="s">
        <v>136</v>
      </c>
      <c r="D123" t="s">
        <v>133</v>
      </c>
      <c r="E123">
        <v>18</v>
      </c>
      <c r="F123" t="s">
        <v>134</v>
      </c>
      <c r="G123" t="s">
        <v>1</v>
      </c>
      <c r="H123" s="26" t="s">
        <v>1420</v>
      </c>
      <c r="I123" t="s">
        <v>1</v>
      </c>
      <c r="J123" t="s">
        <v>1</v>
      </c>
      <c r="K123" t="s">
        <v>1</v>
      </c>
      <c r="L123" t="s">
        <v>1</v>
      </c>
      <c r="M123" t="s">
        <v>1</v>
      </c>
      <c r="N123" t="s">
        <v>1</v>
      </c>
      <c r="O123" t="s">
        <v>1</v>
      </c>
      <c r="P123" t="s">
        <v>1</v>
      </c>
      <c r="Q123" t="s">
        <v>1</v>
      </c>
      <c r="R123" t="s">
        <v>1</v>
      </c>
      <c r="S123" t="s">
        <v>1</v>
      </c>
      <c r="T123" t="s">
        <v>1</v>
      </c>
      <c r="U123" t="s">
        <v>1</v>
      </c>
      <c r="V123" t="s">
        <v>1</v>
      </c>
      <c r="W123" t="s">
        <v>1</v>
      </c>
      <c r="X123" t="s">
        <v>1</v>
      </c>
      <c r="Y123" t="s">
        <v>1</v>
      </c>
      <c r="Z123" t="s">
        <v>1</v>
      </c>
      <c r="AA123" t="s">
        <v>1</v>
      </c>
      <c r="AB123" t="s">
        <v>1</v>
      </c>
      <c r="AC123" t="s">
        <v>1</v>
      </c>
      <c r="AD123" t="s">
        <v>1</v>
      </c>
      <c r="AE123" t="s">
        <v>1</v>
      </c>
      <c r="AF123" t="s">
        <v>1</v>
      </c>
      <c r="AG123" t="s">
        <v>1</v>
      </c>
      <c r="AH123" t="s">
        <v>1</v>
      </c>
      <c r="AI123" t="s">
        <v>1</v>
      </c>
      <c r="AJ123" t="s">
        <v>1</v>
      </c>
      <c r="AK123" t="s">
        <v>1</v>
      </c>
      <c r="AL123" t="s">
        <v>1</v>
      </c>
      <c r="AM123" t="s">
        <v>1</v>
      </c>
      <c r="AN123">
        <v>122</v>
      </c>
      <c r="AO123">
        <f t="shared" si="7"/>
        <v>122</v>
      </c>
      <c r="AP123">
        <f t="shared" si="5"/>
        <v>18</v>
      </c>
      <c r="AQ123">
        <f t="shared" si="6"/>
        <v>18</v>
      </c>
      <c r="AR123" s="26" t="s">
        <v>1355</v>
      </c>
      <c r="AS123" s="26" t="s">
        <v>1356</v>
      </c>
      <c r="AT123" t="s">
        <v>708</v>
      </c>
      <c r="AU123" t="s">
        <v>1</v>
      </c>
      <c r="AV123" t="s">
        <v>1</v>
      </c>
      <c r="AW123">
        <v>30.91</v>
      </c>
      <c r="AX123">
        <v>75.849999999999994</v>
      </c>
      <c r="AY123" t="s">
        <v>737</v>
      </c>
      <c r="BA123" s="3">
        <v>3</v>
      </c>
      <c r="BB123" s="3"/>
      <c r="BC123" s="3"/>
      <c r="BD123" s="3"/>
      <c r="BE123" s="3"/>
      <c r="BF123">
        <v>1988</v>
      </c>
      <c r="BG123" s="24" t="s">
        <v>733</v>
      </c>
      <c r="BH123" s="24" t="s">
        <v>733</v>
      </c>
      <c r="BI123" s="24" t="s">
        <v>733</v>
      </c>
      <c r="BJ123" s="24" t="s">
        <v>732</v>
      </c>
      <c r="BK123" s="24" t="s">
        <v>733</v>
      </c>
      <c r="BL123" s="25" t="s">
        <v>733</v>
      </c>
      <c r="BM123" s="24" t="s">
        <v>733</v>
      </c>
      <c r="BN123" s="24" t="s">
        <v>732</v>
      </c>
      <c r="BO123" s="24" t="s">
        <v>733</v>
      </c>
      <c r="BP123" s="24" t="s">
        <v>733</v>
      </c>
      <c r="BQ123" s="24" t="s">
        <v>945</v>
      </c>
      <c r="BR123" s="24" t="s">
        <v>945</v>
      </c>
      <c r="BS123" s="25" t="s">
        <v>934</v>
      </c>
      <c r="BT123" s="24" t="s">
        <v>934</v>
      </c>
      <c r="BU123" s="24" t="s">
        <v>934</v>
      </c>
      <c r="BV123" s="24" t="s">
        <v>934</v>
      </c>
      <c r="BW123" s="24" t="s">
        <v>934</v>
      </c>
      <c r="BX123" s="24" t="s">
        <v>934</v>
      </c>
      <c r="BY123" s="25" t="s">
        <v>945</v>
      </c>
      <c r="BZ123" t="s">
        <v>1410</v>
      </c>
      <c r="CB123" t="s">
        <v>118</v>
      </c>
      <c r="CC123" s="4">
        <f>49.3/848*120*1000</f>
        <v>6976.4150943396216</v>
      </c>
      <c r="CD123" s="4"/>
      <c r="CE123" s="4"/>
      <c r="CF123" t="s">
        <v>793</v>
      </c>
      <c r="CG123">
        <v>100</v>
      </c>
      <c r="CH123" t="s">
        <v>805</v>
      </c>
      <c r="CI123" s="1">
        <v>0.43</v>
      </c>
      <c r="CJ123" s="9" t="s">
        <v>1</v>
      </c>
      <c r="CK123" s="9" t="s">
        <v>1</v>
      </c>
      <c r="CL123" s="4" t="s">
        <v>1</v>
      </c>
      <c r="CM123" t="s">
        <v>847</v>
      </c>
      <c r="CN123" s="4">
        <f>408/848*120</f>
        <v>57.735849056603776</v>
      </c>
      <c r="CO123" s="4"/>
      <c r="CP123" s="4" t="s">
        <v>1</v>
      </c>
      <c r="CQ123" s="4" t="s">
        <v>1</v>
      </c>
      <c r="CR123" s="4" t="s">
        <v>1</v>
      </c>
      <c r="CS123" s="4" t="s">
        <v>1</v>
      </c>
      <c r="CT123" s="4" t="s">
        <v>1</v>
      </c>
      <c r="CU123" s="4" t="s">
        <v>1</v>
      </c>
      <c r="CV123" t="s">
        <v>855</v>
      </c>
      <c r="CW123">
        <v>100</v>
      </c>
      <c r="CX123">
        <v>0</v>
      </c>
      <c r="CY123">
        <v>15</v>
      </c>
      <c r="CZ123" s="26" t="s">
        <v>1358</v>
      </c>
      <c r="DA123" t="s">
        <v>734</v>
      </c>
      <c r="DB123">
        <v>72.5</v>
      </c>
      <c r="DC123">
        <v>0</v>
      </c>
      <c r="DD123">
        <v>15</v>
      </c>
      <c r="DE123" s="26" t="s">
        <v>1358</v>
      </c>
      <c r="DF123" t="s">
        <v>735</v>
      </c>
      <c r="DG123">
        <v>17.5</v>
      </c>
      <c r="DH123">
        <v>0</v>
      </c>
      <c r="DI123">
        <v>15</v>
      </c>
      <c r="DJ123" s="26" t="s">
        <v>1358</v>
      </c>
      <c r="DK123" t="s">
        <v>736</v>
      </c>
      <c r="DL123">
        <v>9.6</v>
      </c>
      <c r="DM123">
        <v>0</v>
      </c>
      <c r="DN123">
        <v>15</v>
      </c>
      <c r="DO123" s="26" t="s">
        <v>1358</v>
      </c>
      <c r="DP123" t="s">
        <v>6</v>
      </c>
      <c r="DQ123" t="s">
        <v>813</v>
      </c>
      <c r="DR123">
        <v>7.6</v>
      </c>
      <c r="DS123">
        <v>0</v>
      </c>
      <c r="DT123">
        <v>15</v>
      </c>
      <c r="DU123" s="26" t="s">
        <v>1358</v>
      </c>
      <c r="EA123" t="s">
        <v>982</v>
      </c>
      <c r="EB123">
        <v>3.2</v>
      </c>
      <c r="EC123">
        <v>0</v>
      </c>
      <c r="ED123">
        <v>15</v>
      </c>
      <c r="EE123" s="26" t="s">
        <v>1358</v>
      </c>
      <c r="EF123" s="26"/>
      <c r="FZ123" t="s">
        <v>806</v>
      </c>
      <c r="GA123">
        <v>0</v>
      </c>
      <c r="GE123" s="26" t="s">
        <v>1358</v>
      </c>
      <c r="HA123" s="5" t="s">
        <v>1069</v>
      </c>
      <c r="HB123" s="4">
        <v>8.8000000000000007</v>
      </c>
      <c r="HC123">
        <v>0</v>
      </c>
      <c r="HD123">
        <v>15</v>
      </c>
      <c r="HE123" s="26" t="s">
        <v>1358</v>
      </c>
      <c r="HF123" s="5" t="s">
        <v>1063</v>
      </c>
      <c r="HG123" s="4">
        <v>0.42666666666666681</v>
      </c>
      <c r="HH123">
        <v>0</v>
      </c>
      <c r="HI123">
        <v>15</v>
      </c>
      <c r="HJ123" s="26" t="s">
        <v>1358</v>
      </c>
      <c r="HK123" t="s">
        <v>815</v>
      </c>
      <c r="HL123">
        <v>1.35</v>
      </c>
      <c r="HM123">
        <v>0</v>
      </c>
      <c r="HN123">
        <v>15</v>
      </c>
      <c r="HO123" t="s">
        <v>1</v>
      </c>
      <c r="HP123" s="26" t="s">
        <v>1358</v>
      </c>
      <c r="HZ123" t="s">
        <v>969</v>
      </c>
      <c r="IA123">
        <v>120</v>
      </c>
      <c r="IB123" s="10" t="s">
        <v>1</v>
      </c>
      <c r="IC123" s="10"/>
      <c r="ID123" s="10"/>
      <c r="IE123" s="10" t="s">
        <v>1</v>
      </c>
      <c r="IF123" s="10" t="s">
        <v>1</v>
      </c>
      <c r="IG123" s="10"/>
      <c r="IH123" s="10"/>
      <c r="II123" s="10"/>
      <c r="IJ123" s="10"/>
      <c r="IK123" s="10"/>
      <c r="IL123" s="10"/>
      <c r="IM123" s="10"/>
      <c r="IN123" s="10"/>
      <c r="IO123" s="10"/>
      <c r="IP123" s="10"/>
      <c r="IQ123" s="10"/>
      <c r="IR123" s="10"/>
      <c r="IS123" t="s">
        <v>1</v>
      </c>
      <c r="IT123" t="s">
        <v>1</v>
      </c>
      <c r="IW123" t="s">
        <v>1</v>
      </c>
      <c r="IX123" t="s">
        <v>1</v>
      </c>
      <c r="IY123" t="s">
        <v>808</v>
      </c>
      <c r="IZ123">
        <v>18000</v>
      </c>
      <c r="JA123" t="s">
        <v>1</v>
      </c>
      <c r="JB123" s="3" t="s">
        <v>1</v>
      </c>
      <c r="JC123" t="s">
        <v>1</v>
      </c>
      <c r="JD123" s="4" t="s">
        <v>1</v>
      </c>
      <c r="JE123" t="s">
        <v>1</v>
      </c>
      <c r="JF123" t="s">
        <v>1</v>
      </c>
      <c r="JR123" t="s">
        <v>1066</v>
      </c>
      <c r="JS123">
        <v>63.3</v>
      </c>
      <c r="JU123" t="s">
        <v>1</v>
      </c>
      <c r="JW123" t="s">
        <v>1</v>
      </c>
      <c r="JX123">
        <v>0</v>
      </c>
      <c r="JY123">
        <v>43</v>
      </c>
      <c r="JZ123" t="s">
        <v>796</v>
      </c>
      <c r="KA123" t="s">
        <v>16</v>
      </c>
      <c r="KB123" t="s">
        <v>738</v>
      </c>
      <c r="KC123" t="s">
        <v>1</v>
      </c>
      <c r="KD123" t="s">
        <v>1</v>
      </c>
      <c r="KE123" t="s">
        <v>1</v>
      </c>
      <c r="KF123" t="s">
        <v>1</v>
      </c>
      <c r="KG123" t="s">
        <v>1</v>
      </c>
      <c r="KH123" t="s">
        <v>1</v>
      </c>
      <c r="KI123" t="s">
        <v>1</v>
      </c>
      <c r="KJ123" t="s">
        <v>1</v>
      </c>
      <c r="KK123" t="s">
        <v>1</v>
      </c>
    </row>
    <row r="124" spans="1:297" x14ac:dyDescent="0.2">
      <c r="A124">
        <v>123</v>
      </c>
      <c r="B124" t="s">
        <v>705</v>
      </c>
      <c r="C124" t="s">
        <v>137</v>
      </c>
      <c r="D124" t="s">
        <v>133</v>
      </c>
      <c r="E124">
        <v>18</v>
      </c>
      <c r="F124" t="s">
        <v>134</v>
      </c>
      <c r="G124" t="s">
        <v>1</v>
      </c>
      <c r="H124" s="26" t="s">
        <v>1420</v>
      </c>
      <c r="I124" t="s">
        <v>1</v>
      </c>
      <c r="J124" t="s">
        <v>1</v>
      </c>
      <c r="K124" t="s">
        <v>1</v>
      </c>
      <c r="L124" t="s">
        <v>1</v>
      </c>
      <c r="M124" t="s">
        <v>1</v>
      </c>
      <c r="N124" t="s">
        <v>1</v>
      </c>
      <c r="O124" t="s">
        <v>1</v>
      </c>
      <c r="P124" t="s">
        <v>1</v>
      </c>
      <c r="Q124" t="s">
        <v>1</v>
      </c>
      <c r="R124" t="s">
        <v>1</v>
      </c>
      <c r="S124" t="s">
        <v>1</v>
      </c>
      <c r="T124" t="s">
        <v>1</v>
      </c>
      <c r="U124" t="s">
        <v>1</v>
      </c>
      <c r="V124" t="s">
        <v>1</v>
      </c>
      <c r="W124" t="s">
        <v>1</v>
      </c>
      <c r="X124" t="s">
        <v>1</v>
      </c>
      <c r="Y124" t="s">
        <v>1</v>
      </c>
      <c r="Z124" t="s">
        <v>1</v>
      </c>
      <c r="AA124" t="s">
        <v>1</v>
      </c>
      <c r="AB124" t="s">
        <v>1</v>
      </c>
      <c r="AC124" t="s">
        <v>1</v>
      </c>
      <c r="AD124" t="s">
        <v>1</v>
      </c>
      <c r="AE124" t="s">
        <v>1</v>
      </c>
      <c r="AF124" t="s">
        <v>1</v>
      </c>
      <c r="AG124" t="s">
        <v>1</v>
      </c>
      <c r="AH124" t="s">
        <v>1</v>
      </c>
      <c r="AI124" t="s">
        <v>1</v>
      </c>
      <c r="AJ124" t="s">
        <v>1</v>
      </c>
      <c r="AK124" t="s">
        <v>1</v>
      </c>
      <c r="AL124" t="s">
        <v>1</v>
      </c>
      <c r="AM124" t="s">
        <v>1</v>
      </c>
      <c r="AN124">
        <v>123</v>
      </c>
      <c r="AO124">
        <f t="shared" si="7"/>
        <v>123</v>
      </c>
      <c r="AP124">
        <f t="shared" si="5"/>
        <v>18</v>
      </c>
      <c r="AQ124">
        <f t="shared" si="6"/>
        <v>18</v>
      </c>
      <c r="AR124" s="26" t="s">
        <v>1355</v>
      </c>
      <c r="AS124" s="26" t="s">
        <v>1356</v>
      </c>
      <c r="AT124" t="s">
        <v>708</v>
      </c>
      <c r="AU124" t="s">
        <v>1</v>
      </c>
      <c r="AV124" t="s">
        <v>1</v>
      </c>
      <c r="AW124">
        <v>30.91</v>
      </c>
      <c r="AX124">
        <v>75.849999999999994</v>
      </c>
      <c r="AY124" t="s">
        <v>737</v>
      </c>
      <c r="BA124" s="3">
        <v>3</v>
      </c>
      <c r="BB124" s="3"/>
      <c r="BC124" s="3"/>
      <c r="BD124" s="3"/>
      <c r="BE124" s="3"/>
      <c r="BF124">
        <v>1988</v>
      </c>
      <c r="BG124" s="24" t="s">
        <v>733</v>
      </c>
      <c r="BH124" s="24" t="s">
        <v>733</v>
      </c>
      <c r="BI124" s="24" t="s">
        <v>733</v>
      </c>
      <c r="BJ124" s="24" t="s">
        <v>732</v>
      </c>
      <c r="BK124" s="24" t="s">
        <v>733</v>
      </c>
      <c r="BL124" s="25" t="s">
        <v>733</v>
      </c>
      <c r="BM124" s="24" t="s">
        <v>733</v>
      </c>
      <c r="BN124" s="24" t="s">
        <v>732</v>
      </c>
      <c r="BO124" s="24" t="s">
        <v>733</v>
      </c>
      <c r="BP124" s="24" t="s">
        <v>733</v>
      </c>
      <c r="BQ124" s="24" t="s">
        <v>945</v>
      </c>
      <c r="BR124" s="24" t="s">
        <v>945</v>
      </c>
      <c r="BS124" s="25" t="s">
        <v>934</v>
      </c>
      <c r="BT124" s="24" t="s">
        <v>934</v>
      </c>
      <c r="BU124" s="24" t="s">
        <v>934</v>
      </c>
      <c r="BV124" s="24" t="s">
        <v>934</v>
      </c>
      <c r="BW124" s="24" t="s">
        <v>934</v>
      </c>
      <c r="BX124" s="24" t="s">
        <v>934</v>
      </c>
      <c r="BY124" s="25" t="s">
        <v>945</v>
      </c>
      <c r="BZ124" t="s">
        <v>1410</v>
      </c>
      <c r="CB124" t="s">
        <v>118</v>
      </c>
      <c r="CC124" s="4">
        <f>50.6/848*120*1000</f>
        <v>7160.3773584905657</v>
      </c>
      <c r="CD124" s="4"/>
      <c r="CE124" s="4"/>
      <c r="CF124" t="s">
        <v>793</v>
      </c>
      <c r="CG124">
        <v>100</v>
      </c>
      <c r="CH124" t="s">
        <v>805</v>
      </c>
      <c r="CI124" s="1">
        <v>0.43</v>
      </c>
      <c r="CJ124" s="9" t="s">
        <v>1</v>
      </c>
      <c r="CK124" s="9" t="s">
        <v>1</v>
      </c>
      <c r="CL124" s="4" t="s">
        <v>1</v>
      </c>
      <c r="CM124" t="s">
        <v>847</v>
      </c>
      <c r="CN124" s="4">
        <f>427/848*120</f>
        <v>60.424528301886788</v>
      </c>
      <c r="CO124" s="4"/>
      <c r="CP124" s="4" t="s">
        <v>1</v>
      </c>
      <c r="CQ124" s="4" t="s">
        <v>1</v>
      </c>
      <c r="CR124" s="4" t="s">
        <v>1</v>
      </c>
      <c r="CS124" s="4" t="s">
        <v>1</v>
      </c>
      <c r="CT124" s="4" t="s">
        <v>1</v>
      </c>
      <c r="CU124" s="4" t="s">
        <v>1</v>
      </c>
      <c r="CV124" t="s">
        <v>855</v>
      </c>
      <c r="CW124">
        <v>100</v>
      </c>
      <c r="CX124">
        <v>0</v>
      </c>
      <c r="CY124">
        <v>15</v>
      </c>
      <c r="CZ124" s="26" t="s">
        <v>1358</v>
      </c>
      <c r="DA124" t="s">
        <v>734</v>
      </c>
      <c r="DB124">
        <v>72.5</v>
      </c>
      <c r="DC124">
        <v>0</v>
      </c>
      <c r="DD124">
        <v>15</v>
      </c>
      <c r="DE124" s="26" t="s">
        <v>1358</v>
      </c>
      <c r="DF124" t="s">
        <v>735</v>
      </c>
      <c r="DG124">
        <v>17.5</v>
      </c>
      <c r="DH124">
        <v>0</v>
      </c>
      <c r="DI124">
        <v>15</v>
      </c>
      <c r="DJ124" s="26" t="s">
        <v>1358</v>
      </c>
      <c r="DK124" t="s">
        <v>736</v>
      </c>
      <c r="DL124">
        <v>9.6</v>
      </c>
      <c r="DM124">
        <v>0</v>
      </c>
      <c r="DN124">
        <v>15</v>
      </c>
      <c r="DO124" s="26" t="s">
        <v>1358</v>
      </c>
      <c r="DP124" t="s">
        <v>6</v>
      </c>
      <c r="DQ124" t="s">
        <v>813</v>
      </c>
      <c r="DR124">
        <v>7.6</v>
      </c>
      <c r="DS124">
        <v>0</v>
      </c>
      <c r="DT124">
        <v>15</v>
      </c>
      <c r="DU124" s="26" t="s">
        <v>1358</v>
      </c>
      <c r="EA124" t="s">
        <v>982</v>
      </c>
      <c r="EB124">
        <v>3.2</v>
      </c>
      <c r="EC124">
        <v>0</v>
      </c>
      <c r="ED124">
        <v>15</v>
      </c>
      <c r="EE124" s="26" t="s">
        <v>1358</v>
      </c>
      <c r="EF124" s="26"/>
      <c r="FZ124" t="s">
        <v>806</v>
      </c>
      <c r="GA124">
        <v>0</v>
      </c>
      <c r="GE124" s="26" t="s">
        <v>1358</v>
      </c>
      <c r="HA124" s="5" t="s">
        <v>1069</v>
      </c>
      <c r="HB124" s="4">
        <v>8.8000000000000007</v>
      </c>
      <c r="HC124">
        <v>0</v>
      </c>
      <c r="HD124">
        <v>15</v>
      </c>
      <c r="HE124" s="26" t="s">
        <v>1358</v>
      </c>
      <c r="HF124" s="5" t="s">
        <v>1063</v>
      </c>
      <c r="HG124" s="4">
        <v>0.42666666666666681</v>
      </c>
      <c r="HH124">
        <v>0</v>
      </c>
      <c r="HI124">
        <v>15</v>
      </c>
      <c r="HJ124" s="26" t="s">
        <v>1358</v>
      </c>
      <c r="HK124" t="s">
        <v>815</v>
      </c>
      <c r="HL124">
        <v>1.35</v>
      </c>
      <c r="HM124">
        <v>0</v>
      </c>
      <c r="HN124">
        <v>15</v>
      </c>
      <c r="HO124" t="s">
        <v>1</v>
      </c>
      <c r="HP124" s="26" t="s">
        <v>1358</v>
      </c>
      <c r="HZ124" t="s">
        <v>969</v>
      </c>
      <c r="IA124">
        <v>120</v>
      </c>
      <c r="IB124" s="10" t="s">
        <v>1</v>
      </c>
      <c r="IC124" s="10"/>
      <c r="ID124" s="10"/>
      <c r="IE124" s="10" t="s">
        <v>1</v>
      </c>
      <c r="IF124" s="10" t="s">
        <v>1</v>
      </c>
      <c r="IG124" s="10"/>
      <c r="IH124" s="10"/>
      <c r="II124" s="10"/>
      <c r="IJ124" s="10"/>
      <c r="IK124" s="10"/>
      <c r="IL124" s="10"/>
      <c r="IM124" s="10"/>
      <c r="IN124" s="10"/>
      <c r="IO124" s="10"/>
      <c r="IP124" s="10"/>
      <c r="IQ124" s="10"/>
      <c r="IR124" s="10"/>
      <c r="IS124" t="s">
        <v>1</v>
      </c>
      <c r="IT124" t="s">
        <v>1</v>
      </c>
      <c r="IW124" t="s">
        <v>1</v>
      </c>
      <c r="IX124" t="s">
        <v>1</v>
      </c>
      <c r="IY124" t="s">
        <v>808</v>
      </c>
      <c r="IZ124">
        <v>18000</v>
      </c>
      <c r="JA124" t="s">
        <v>1</v>
      </c>
      <c r="JB124" s="3" t="s">
        <v>1</v>
      </c>
      <c r="JC124" t="s">
        <v>1</v>
      </c>
      <c r="JD124" s="4" t="s">
        <v>1</v>
      </c>
      <c r="JE124" t="s">
        <v>1</v>
      </c>
      <c r="JF124" t="s">
        <v>1</v>
      </c>
      <c r="JR124" t="s">
        <v>1066</v>
      </c>
      <c r="JS124">
        <v>48.2</v>
      </c>
      <c r="JU124" t="s">
        <v>1</v>
      </c>
      <c r="JW124" t="s">
        <v>1</v>
      </c>
      <c r="JX124">
        <v>0</v>
      </c>
      <c r="JY124">
        <v>43</v>
      </c>
      <c r="JZ124" t="s">
        <v>796</v>
      </c>
      <c r="KA124" t="s">
        <v>16</v>
      </c>
      <c r="KB124" t="s">
        <v>738</v>
      </c>
      <c r="KC124" t="s">
        <v>1</v>
      </c>
      <c r="KD124" t="s">
        <v>1</v>
      </c>
      <c r="KE124" t="s">
        <v>1</v>
      </c>
      <c r="KF124" t="s">
        <v>1</v>
      </c>
      <c r="KG124" t="s">
        <v>1</v>
      </c>
      <c r="KH124" t="s">
        <v>1</v>
      </c>
      <c r="KI124" t="s">
        <v>1</v>
      </c>
      <c r="KJ124" t="s">
        <v>1</v>
      </c>
      <c r="KK124" t="s">
        <v>1</v>
      </c>
    </row>
    <row r="125" spans="1:297" x14ac:dyDescent="0.2">
      <c r="A125">
        <v>124</v>
      </c>
      <c r="B125" t="s">
        <v>705</v>
      </c>
      <c r="C125" t="s">
        <v>138</v>
      </c>
      <c r="D125" t="s">
        <v>133</v>
      </c>
      <c r="E125">
        <v>18</v>
      </c>
      <c r="F125" t="s">
        <v>134</v>
      </c>
      <c r="G125" t="s">
        <v>1</v>
      </c>
      <c r="H125" s="26" t="s">
        <v>1420</v>
      </c>
      <c r="I125" t="s">
        <v>1</v>
      </c>
      <c r="J125" t="s">
        <v>1</v>
      </c>
      <c r="K125" t="s">
        <v>1</v>
      </c>
      <c r="L125" t="s">
        <v>1</v>
      </c>
      <c r="M125" t="s">
        <v>1</v>
      </c>
      <c r="N125" t="s">
        <v>1</v>
      </c>
      <c r="O125" t="s">
        <v>1</v>
      </c>
      <c r="P125" t="s">
        <v>1</v>
      </c>
      <c r="Q125" t="s">
        <v>1</v>
      </c>
      <c r="R125" t="s">
        <v>1</v>
      </c>
      <c r="S125" t="s">
        <v>1</v>
      </c>
      <c r="T125" t="s">
        <v>1</v>
      </c>
      <c r="U125" t="s">
        <v>1</v>
      </c>
      <c r="V125" t="s">
        <v>1</v>
      </c>
      <c r="W125" t="s">
        <v>1</v>
      </c>
      <c r="X125" t="s">
        <v>1</v>
      </c>
      <c r="Y125" t="s">
        <v>1</v>
      </c>
      <c r="Z125" t="s">
        <v>1</v>
      </c>
      <c r="AA125" t="s">
        <v>1</v>
      </c>
      <c r="AB125" t="s">
        <v>1</v>
      </c>
      <c r="AC125" t="s">
        <v>1</v>
      </c>
      <c r="AD125" t="s">
        <v>1</v>
      </c>
      <c r="AE125" t="s">
        <v>1</v>
      </c>
      <c r="AF125" t="s">
        <v>1</v>
      </c>
      <c r="AG125" t="s">
        <v>1</v>
      </c>
      <c r="AH125" t="s">
        <v>1</v>
      </c>
      <c r="AI125" t="s">
        <v>1</v>
      </c>
      <c r="AJ125" t="s">
        <v>1</v>
      </c>
      <c r="AK125" t="s">
        <v>1</v>
      </c>
      <c r="AL125" t="s">
        <v>1</v>
      </c>
      <c r="AM125" t="s">
        <v>1</v>
      </c>
      <c r="AN125">
        <v>124</v>
      </c>
      <c r="AO125">
        <f t="shared" si="7"/>
        <v>124</v>
      </c>
      <c r="AP125">
        <f t="shared" si="5"/>
        <v>18</v>
      </c>
      <c r="AQ125">
        <f t="shared" si="6"/>
        <v>18</v>
      </c>
      <c r="AR125" s="26" t="s">
        <v>1355</v>
      </c>
      <c r="AS125" s="26" t="s">
        <v>1356</v>
      </c>
      <c r="AT125" t="s">
        <v>708</v>
      </c>
      <c r="AU125" t="s">
        <v>1</v>
      </c>
      <c r="AV125" t="s">
        <v>1</v>
      </c>
      <c r="AW125">
        <v>30.91</v>
      </c>
      <c r="AX125">
        <v>75.849999999999994</v>
      </c>
      <c r="AY125" t="s">
        <v>737</v>
      </c>
      <c r="BA125" s="3">
        <v>3</v>
      </c>
      <c r="BB125" s="3"/>
      <c r="BC125" s="3"/>
      <c r="BD125" s="3"/>
      <c r="BE125" s="3"/>
      <c r="BF125">
        <v>1988</v>
      </c>
      <c r="BG125" s="24" t="s">
        <v>733</v>
      </c>
      <c r="BH125" s="24" t="s">
        <v>733</v>
      </c>
      <c r="BI125" s="24" t="s">
        <v>733</v>
      </c>
      <c r="BJ125" s="24" t="s">
        <v>732</v>
      </c>
      <c r="BK125" s="24" t="s">
        <v>733</v>
      </c>
      <c r="BL125" s="25" t="s">
        <v>733</v>
      </c>
      <c r="BM125" s="24" t="s">
        <v>733</v>
      </c>
      <c r="BN125" s="24" t="s">
        <v>732</v>
      </c>
      <c r="BO125" s="24" t="s">
        <v>733</v>
      </c>
      <c r="BP125" s="24" t="s">
        <v>733</v>
      </c>
      <c r="BQ125" s="24" t="s">
        <v>945</v>
      </c>
      <c r="BR125" s="24" t="s">
        <v>945</v>
      </c>
      <c r="BS125" s="25" t="s">
        <v>934</v>
      </c>
      <c r="BT125" s="24" t="s">
        <v>934</v>
      </c>
      <c r="BU125" s="24" t="s">
        <v>934</v>
      </c>
      <c r="BV125" s="24" t="s">
        <v>934</v>
      </c>
      <c r="BW125" s="24" t="s">
        <v>934</v>
      </c>
      <c r="BX125" s="24" t="s">
        <v>934</v>
      </c>
      <c r="BY125" s="25" t="s">
        <v>945</v>
      </c>
      <c r="BZ125" t="s">
        <v>1410</v>
      </c>
      <c r="CB125" t="s">
        <v>118</v>
      </c>
      <c r="CC125" s="4">
        <f>37.2/848*120*1000</f>
        <v>5264.1509433962265</v>
      </c>
      <c r="CD125" s="4"/>
      <c r="CE125" s="4"/>
      <c r="CF125" t="s">
        <v>793</v>
      </c>
      <c r="CG125">
        <v>100</v>
      </c>
      <c r="CH125" t="s">
        <v>805</v>
      </c>
      <c r="CI125" s="1">
        <v>0.43</v>
      </c>
      <c r="CJ125" s="9" t="s">
        <v>1</v>
      </c>
      <c r="CK125" s="9" t="s">
        <v>1</v>
      </c>
      <c r="CL125" s="4" t="s">
        <v>1</v>
      </c>
      <c r="CM125" t="s">
        <v>847</v>
      </c>
      <c r="CN125" s="4">
        <f>301/848*120</f>
        <v>42.594339622641506</v>
      </c>
      <c r="CO125" s="4"/>
      <c r="CP125" s="4" t="s">
        <v>1</v>
      </c>
      <c r="CQ125" s="4" t="s">
        <v>1</v>
      </c>
      <c r="CR125" s="4" t="s">
        <v>1</v>
      </c>
      <c r="CS125" s="4" t="s">
        <v>1</v>
      </c>
      <c r="CT125" s="4" t="s">
        <v>1</v>
      </c>
      <c r="CU125" s="4" t="s">
        <v>1</v>
      </c>
      <c r="CV125" t="s">
        <v>855</v>
      </c>
      <c r="CW125">
        <v>100</v>
      </c>
      <c r="CX125">
        <v>0</v>
      </c>
      <c r="CY125">
        <v>15</v>
      </c>
      <c r="CZ125" s="26" t="s">
        <v>1358</v>
      </c>
      <c r="DA125" t="s">
        <v>734</v>
      </c>
      <c r="DB125">
        <v>72.5</v>
      </c>
      <c r="DC125">
        <v>0</v>
      </c>
      <c r="DD125">
        <v>15</v>
      </c>
      <c r="DE125" s="26" t="s">
        <v>1358</v>
      </c>
      <c r="DF125" t="s">
        <v>735</v>
      </c>
      <c r="DG125">
        <v>17.5</v>
      </c>
      <c r="DH125">
        <v>0</v>
      </c>
      <c r="DI125">
        <v>15</v>
      </c>
      <c r="DJ125" s="26" t="s">
        <v>1358</v>
      </c>
      <c r="DK125" t="s">
        <v>736</v>
      </c>
      <c r="DL125">
        <v>9.6</v>
      </c>
      <c r="DM125">
        <v>0</v>
      </c>
      <c r="DN125">
        <v>15</v>
      </c>
      <c r="DO125" s="26" t="s">
        <v>1358</v>
      </c>
      <c r="DP125" t="s">
        <v>6</v>
      </c>
      <c r="DQ125" t="s">
        <v>813</v>
      </c>
      <c r="DR125">
        <v>7.6</v>
      </c>
      <c r="DS125">
        <v>0</v>
      </c>
      <c r="DT125">
        <v>15</v>
      </c>
      <c r="DU125" s="26" t="s">
        <v>1358</v>
      </c>
      <c r="EA125" t="s">
        <v>982</v>
      </c>
      <c r="EB125">
        <v>3.2</v>
      </c>
      <c r="EC125">
        <v>0</v>
      </c>
      <c r="ED125">
        <v>15</v>
      </c>
      <c r="EE125" s="26" t="s">
        <v>1358</v>
      </c>
      <c r="EF125" s="26"/>
      <c r="FZ125" t="s">
        <v>806</v>
      </c>
      <c r="GA125">
        <v>0</v>
      </c>
      <c r="GE125" s="26" t="s">
        <v>1358</v>
      </c>
      <c r="HA125" s="5" t="s">
        <v>1069</v>
      </c>
      <c r="HB125" s="4">
        <v>8.8000000000000007</v>
      </c>
      <c r="HC125">
        <v>0</v>
      </c>
      <c r="HD125">
        <v>15</v>
      </c>
      <c r="HE125" s="26" t="s">
        <v>1358</v>
      </c>
      <c r="HF125" s="5" t="s">
        <v>1063</v>
      </c>
      <c r="HG125" s="4">
        <v>0.42666666666666681</v>
      </c>
      <c r="HH125">
        <v>0</v>
      </c>
      <c r="HI125">
        <v>15</v>
      </c>
      <c r="HJ125" s="26" t="s">
        <v>1358</v>
      </c>
      <c r="HK125" t="s">
        <v>815</v>
      </c>
      <c r="HL125">
        <v>1.35</v>
      </c>
      <c r="HM125">
        <v>0</v>
      </c>
      <c r="HN125">
        <v>15</v>
      </c>
      <c r="HO125" t="s">
        <v>1</v>
      </c>
      <c r="HP125" s="26" t="s">
        <v>1358</v>
      </c>
      <c r="HZ125" t="s">
        <v>969</v>
      </c>
      <c r="IA125">
        <v>120</v>
      </c>
      <c r="IB125" s="10" t="s">
        <v>1</v>
      </c>
      <c r="IC125" s="10"/>
      <c r="ID125" s="10"/>
      <c r="IE125" s="10" t="s">
        <v>1</v>
      </c>
      <c r="IF125" s="10" t="s">
        <v>1</v>
      </c>
      <c r="IG125" s="10"/>
      <c r="IH125" s="10"/>
      <c r="II125" s="10"/>
      <c r="IJ125" s="10"/>
      <c r="IK125" s="10"/>
      <c r="IL125" s="10"/>
      <c r="IM125" s="10"/>
      <c r="IN125" s="10"/>
      <c r="IO125" s="10"/>
      <c r="IP125" s="10"/>
      <c r="IQ125" s="10"/>
      <c r="IR125" s="10"/>
      <c r="IS125" t="s">
        <v>1</v>
      </c>
      <c r="IT125" t="s">
        <v>1</v>
      </c>
      <c r="IW125" t="s">
        <v>1</v>
      </c>
      <c r="IX125" t="s">
        <v>1</v>
      </c>
      <c r="IY125" t="s">
        <v>808</v>
      </c>
      <c r="IZ125">
        <v>18000</v>
      </c>
      <c r="JA125" t="s">
        <v>1</v>
      </c>
      <c r="JB125" s="3" t="s">
        <v>1</v>
      </c>
      <c r="JC125" t="s">
        <v>1</v>
      </c>
      <c r="JD125" s="4" t="s">
        <v>1</v>
      </c>
      <c r="JE125" t="s">
        <v>1</v>
      </c>
      <c r="JF125" t="s">
        <v>1</v>
      </c>
      <c r="JR125" t="s">
        <v>1066</v>
      </c>
      <c r="JS125">
        <v>232.4</v>
      </c>
      <c r="JU125" t="s">
        <v>1</v>
      </c>
      <c r="JW125" t="s">
        <v>1</v>
      </c>
      <c r="JX125">
        <v>0</v>
      </c>
      <c r="JY125">
        <v>43</v>
      </c>
      <c r="JZ125" t="s">
        <v>796</v>
      </c>
      <c r="KA125" t="s">
        <v>16</v>
      </c>
      <c r="KB125" t="s">
        <v>738</v>
      </c>
      <c r="KC125" t="s">
        <v>1</v>
      </c>
      <c r="KD125" t="s">
        <v>1</v>
      </c>
      <c r="KE125" t="s">
        <v>1</v>
      </c>
      <c r="KF125" t="s">
        <v>1</v>
      </c>
      <c r="KG125" t="s">
        <v>1</v>
      </c>
      <c r="KH125" t="s">
        <v>1</v>
      </c>
      <c r="KI125" t="s">
        <v>1</v>
      </c>
      <c r="KJ125" t="s">
        <v>1</v>
      </c>
      <c r="KK125" t="s">
        <v>1</v>
      </c>
    </row>
    <row r="126" spans="1:297" x14ac:dyDescent="0.2">
      <c r="A126">
        <v>125</v>
      </c>
      <c r="B126" t="s">
        <v>705</v>
      </c>
      <c r="C126" t="s">
        <v>139</v>
      </c>
      <c r="D126" t="s">
        <v>133</v>
      </c>
      <c r="E126">
        <v>18</v>
      </c>
      <c r="F126" t="s">
        <v>134</v>
      </c>
      <c r="G126" t="s">
        <v>1</v>
      </c>
      <c r="H126" s="26" t="s">
        <v>1420</v>
      </c>
      <c r="I126" t="s">
        <v>1</v>
      </c>
      <c r="J126" t="s">
        <v>1</v>
      </c>
      <c r="K126" t="s">
        <v>1</v>
      </c>
      <c r="L126" t="s">
        <v>1</v>
      </c>
      <c r="M126" t="s">
        <v>1</v>
      </c>
      <c r="N126" t="s">
        <v>1</v>
      </c>
      <c r="O126" t="s">
        <v>1</v>
      </c>
      <c r="P126" t="s">
        <v>1</v>
      </c>
      <c r="Q126" t="s">
        <v>1</v>
      </c>
      <c r="R126" t="s">
        <v>1</v>
      </c>
      <c r="S126" t="s">
        <v>1</v>
      </c>
      <c r="T126" t="s">
        <v>1</v>
      </c>
      <c r="U126" t="s">
        <v>1</v>
      </c>
      <c r="V126" t="s">
        <v>1</v>
      </c>
      <c r="W126" t="s">
        <v>1</v>
      </c>
      <c r="X126" t="s">
        <v>1</v>
      </c>
      <c r="Y126" t="s">
        <v>1</v>
      </c>
      <c r="Z126" t="s">
        <v>1</v>
      </c>
      <c r="AA126" t="s">
        <v>1</v>
      </c>
      <c r="AB126" t="s">
        <v>1</v>
      </c>
      <c r="AC126" t="s">
        <v>1</v>
      </c>
      <c r="AD126" t="s">
        <v>1</v>
      </c>
      <c r="AE126" t="s">
        <v>1</v>
      </c>
      <c r="AF126" t="s">
        <v>1</v>
      </c>
      <c r="AG126" t="s">
        <v>1</v>
      </c>
      <c r="AH126" t="s">
        <v>1</v>
      </c>
      <c r="AI126" t="s">
        <v>1</v>
      </c>
      <c r="AJ126" t="s">
        <v>1</v>
      </c>
      <c r="AK126" t="s">
        <v>1</v>
      </c>
      <c r="AL126" t="s">
        <v>1</v>
      </c>
      <c r="AM126" t="s">
        <v>1</v>
      </c>
      <c r="AN126">
        <v>125</v>
      </c>
      <c r="AO126">
        <f t="shared" si="7"/>
        <v>125</v>
      </c>
      <c r="AP126">
        <f t="shared" si="5"/>
        <v>18</v>
      </c>
      <c r="AQ126">
        <f t="shared" si="6"/>
        <v>18</v>
      </c>
      <c r="AR126" s="26" t="s">
        <v>1355</v>
      </c>
      <c r="AS126" s="26" t="s">
        <v>1356</v>
      </c>
      <c r="AT126" t="s">
        <v>708</v>
      </c>
      <c r="AU126" t="s">
        <v>1</v>
      </c>
      <c r="AV126" t="s">
        <v>1</v>
      </c>
      <c r="AW126">
        <v>30.91</v>
      </c>
      <c r="AX126">
        <v>75.849999999999994</v>
      </c>
      <c r="AY126" t="s">
        <v>737</v>
      </c>
      <c r="BA126" s="3">
        <v>3</v>
      </c>
      <c r="BB126" s="3"/>
      <c r="BC126" s="3"/>
      <c r="BD126" s="3"/>
      <c r="BE126" s="3"/>
      <c r="BF126">
        <v>1988</v>
      </c>
      <c r="BG126" s="24" t="s">
        <v>733</v>
      </c>
      <c r="BH126" s="24" t="s">
        <v>733</v>
      </c>
      <c r="BI126" s="24" t="s">
        <v>733</v>
      </c>
      <c r="BJ126" s="24" t="s">
        <v>732</v>
      </c>
      <c r="BK126" s="24" t="s">
        <v>733</v>
      </c>
      <c r="BL126" s="25" t="s">
        <v>733</v>
      </c>
      <c r="BM126" s="24" t="s">
        <v>733</v>
      </c>
      <c r="BN126" s="24" t="s">
        <v>732</v>
      </c>
      <c r="BO126" s="24" t="s">
        <v>733</v>
      </c>
      <c r="BP126" s="24" t="s">
        <v>733</v>
      </c>
      <c r="BQ126" s="24" t="s">
        <v>945</v>
      </c>
      <c r="BR126" s="24" t="s">
        <v>945</v>
      </c>
      <c r="BS126" s="25" t="s">
        <v>934</v>
      </c>
      <c r="BT126" s="24" t="s">
        <v>934</v>
      </c>
      <c r="BU126" s="24" t="s">
        <v>934</v>
      </c>
      <c r="BV126" s="24" t="s">
        <v>934</v>
      </c>
      <c r="BW126" s="24" t="s">
        <v>934</v>
      </c>
      <c r="BX126" s="24" t="s">
        <v>934</v>
      </c>
      <c r="BY126" s="25" t="s">
        <v>945</v>
      </c>
      <c r="BZ126" t="s">
        <v>1410</v>
      </c>
      <c r="CB126" t="s">
        <v>118</v>
      </c>
      <c r="CC126" s="4">
        <f>36.5/848*120*1000</f>
        <v>5165.0943396226412</v>
      </c>
      <c r="CD126" s="4"/>
      <c r="CE126" s="4"/>
      <c r="CF126" t="s">
        <v>793</v>
      </c>
      <c r="CG126">
        <v>100</v>
      </c>
      <c r="CH126" t="s">
        <v>805</v>
      </c>
      <c r="CI126" s="1">
        <v>0.43</v>
      </c>
      <c r="CJ126" s="9" t="s">
        <v>1</v>
      </c>
      <c r="CK126" s="9" t="s">
        <v>1</v>
      </c>
      <c r="CL126" s="4" t="s">
        <v>1</v>
      </c>
      <c r="CM126" t="s">
        <v>847</v>
      </c>
      <c r="CN126" s="4">
        <f>307/848*120</f>
        <v>43.443396226415096</v>
      </c>
      <c r="CO126" s="4"/>
      <c r="CP126" s="4" t="s">
        <v>1</v>
      </c>
      <c r="CQ126" s="4" t="s">
        <v>1</v>
      </c>
      <c r="CR126" s="4" t="s">
        <v>1</v>
      </c>
      <c r="CS126" s="4" t="s">
        <v>1</v>
      </c>
      <c r="CT126" s="4" t="s">
        <v>1</v>
      </c>
      <c r="CU126" s="4" t="s">
        <v>1</v>
      </c>
      <c r="CV126" t="s">
        <v>855</v>
      </c>
      <c r="CW126">
        <v>100</v>
      </c>
      <c r="CX126">
        <v>0</v>
      </c>
      <c r="CY126">
        <v>15</v>
      </c>
      <c r="CZ126" s="26" t="s">
        <v>1358</v>
      </c>
      <c r="DA126" t="s">
        <v>734</v>
      </c>
      <c r="DB126">
        <v>72.5</v>
      </c>
      <c r="DC126">
        <v>0</v>
      </c>
      <c r="DD126">
        <v>15</v>
      </c>
      <c r="DE126" s="26" t="s">
        <v>1358</v>
      </c>
      <c r="DF126" t="s">
        <v>735</v>
      </c>
      <c r="DG126">
        <v>17.5</v>
      </c>
      <c r="DH126">
        <v>0</v>
      </c>
      <c r="DI126">
        <v>15</v>
      </c>
      <c r="DJ126" s="26" t="s">
        <v>1358</v>
      </c>
      <c r="DK126" t="s">
        <v>736</v>
      </c>
      <c r="DL126">
        <v>9.6</v>
      </c>
      <c r="DM126">
        <v>0</v>
      </c>
      <c r="DN126">
        <v>15</v>
      </c>
      <c r="DO126" s="26" t="s">
        <v>1358</v>
      </c>
      <c r="DP126" t="s">
        <v>6</v>
      </c>
      <c r="DQ126" t="s">
        <v>813</v>
      </c>
      <c r="DR126">
        <v>7.6</v>
      </c>
      <c r="DS126">
        <v>0</v>
      </c>
      <c r="DT126">
        <v>15</v>
      </c>
      <c r="DU126" s="26" t="s">
        <v>1358</v>
      </c>
      <c r="EA126" t="s">
        <v>982</v>
      </c>
      <c r="EB126">
        <v>3.2</v>
      </c>
      <c r="EC126">
        <v>0</v>
      </c>
      <c r="ED126">
        <v>15</v>
      </c>
      <c r="EE126" s="26" t="s">
        <v>1358</v>
      </c>
      <c r="EF126" s="26"/>
      <c r="FZ126" t="s">
        <v>806</v>
      </c>
      <c r="GA126">
        <v>0</v>
      </c>
      <c r="GE126" s="26" t="s">
        <v>1358</v>
      </c>
      <c r="HA126" s="5" t="s">
        <v>1069</v>
      </c>
      <c r="HB126" s="4">
        <v>8.8000000000000007</v>
      </c>
      <c r="HC126">
        <v>0</v>
      </c>
      <c r="HD126">
        <v>15</v>
      </c>
      <c r="HE126" s="26" t="s">
        <v>1358</v>
      </c>
      <c r="HF126" s="5" t="s">
        <v>1063</v>
      </c>
      <c r="HG126" s="4">
        <v>0.42666666666666681</v>
      </c>
      <c r="HH126">
        <v>0</v>
      </c>
      <c r="HI126">
        <v>15</v>
      </c>
      <c r="HJ126" s="26" t="s">
        <v>1358</v>
      </c>
      <c r="HK126" t="s">
        <v>815</v>
      </c>
      <c r="HL126">
        <v>1.35</v>
      </c>
      <c r="HM126">
        <v>0</v>
      </c>
      <c r="HN126">
        <v>15</v>
      </c>
      <c r="HO126" t="s">
        <v>1</v>
      </c>
      <c r="HP126" s="26" t="s">
        <v>1358</v>
      </c>
      <c r="HZ126" t="s">
        <v>969</v>
      </c>
      <c r="IA126">
        <v>120</v>
      </c>
      <c r="IB126" s="10" t="s">
        <v>1</v>
      </c>
      <c r="IC126" s="10"/>
      <c r="ID126" s="10"/>
      <c r="IE126" s="10" t="s">
        <v>1</v>
      </c>
      <c r="IF126" s="10" t="s">
        <v>1</v>
      </c>
      <c r="IG126" s="10"/>
      <c r="IH126" s="10"/>
      <c r="II126" s="10"/>
      <c r="IJ126" s="10"/>
      <c r="IK126" s="10"/>
      <c r="IL126" s="10"/>
      <c r="IM126" s="10"/>
      <c r="IN126" s="10"/>
      <c r="IO126" s="10"/>
      <c r="IP126" s="10"/>
      <c r="IQ126" s="10"/>
      <c r="IR126" s="10"/>
      <c r="IS126" t="s">
        <v>1</v>
      </c>
      <c r="IT126" t="s">
        <v>1</v>
      </c>
      <c r="IW126" t="s">
        <v>1</v>
      </c>
      <c r="IX126" t="s">
        <v>1</v>
      </c>
      <c r="IY126" t="s">
        <v>808</v>
      </c>
      <c r="IZ126">
        <v>18000</v>
      </c>
      <c r="JA126" t="s">
        <v>1</v>
      </c>
      <c r="JB126" s="3" t="s">
        <v>1</v>
      </c>
      <c r="JC126" t="s">
        <v>1</v>
      </c>
      <c r="JD126" s="4" t="s">
        <v>1</v>
      </c>
      <c r="JE126" t="s">
        <v>1</v>
      </c>
      <c r="JF126" t="s">
        <v>1</v>
      </c>
      <c r="JR126" t="s">
        <v>1066</v>
      </c>
      <c r="JS126">
        <v>103.4</v>
      </c>
      <c r="JU126" t="s">
        <v>1</v>
      </c>
      <c r="JW126" t="s">
        <v>1</v>
      </c>
      <c r="JX126">
        <v>0</v>
      </c>
      <c r="JY126">
        <v>43</v>
      </c>
      <c r="JZ126" t="s">
        <v>796</v>
      </c>
      <c r="KA126" t="s">
        <v>16</v>
      </c>
      <c r="KB126" t="s">
        <v>738</v>
      </c>
      <c r="KC126" t="s">
        <v>1</v>
      </c>
      <c r="KD126" t="s">
        <v>1</v>
      </c>
      <c r="KE126" t="s">
        <v>1</v>
      </c>
      <c r="KF126" t="s">
        <v>1</v>
      </c>
      <c r="KG126" t="s">
        <v>1</v>
      </c>
      <c r="KH126" t="s">
        <v>1</v>
      </c>
      <c r="KI126" t="s">
        <v>1</v>
      </c>
      <c r="KJ126" t="s">
        <v>1</v>
      </c>
      <c r="KK126" t="s">
        <v>1</v>
      </c>
    </row>
    <row r="127" spans="1:297" x14ac:dyDescent="0.2">
      <c r="A127">
        <v>126</v>
      </c>
      <c r="B127" t="s">
        <v>705</v>
      </c>
      <c r="C127" t="s">
        <v>142</v>
      </c>
      <c r="D127" t="s">
        <v>140</v>
      </c>
      <c r="E127">
        <v>19</v>
      </c>
      <c r="F127" t="s">
        <v>141</v>
      </c>
      <c r="G127" t="s">
        <v>1</v>
      </c>
      <c r="H127" s="26" t="s">
        <v>1420</v>
      </c>
      <c r="I127" t="s">
        <v>1</v>
      </c>
      <c r="J127" t="s">
        <v>1</v>
      </c>
      <c r="K127" t="s">
        <v>1</v>
      </c>
      <c r="L127" t="s">
        <v>1</v>
      </c>
      <c r="M127" t="s">
        <v>1</v>
      </c>
      <c r="N127" t="s">
        <v>1</v>
      </c>
      <c r="O127" t="s">
        <v>1</v>
      </c>
      <c r="P127" t="s">
        <v>1</v>
      </c>
      <c r="Q127" t="s">
        <v>1</v>
      </c>
      <c r="R127" t="s">
        <v>1</v>
      </c>
      <c r="S127" t="s">
        <v>1</v>
      </c>
      <c r="T127" t="s">
        <v>1</v>
      </c>
      <c r="U127" t="s">
        <v>1</v>
      </c>
      <c r="V127" t="s">
        <v>1</v>
      </c>
      <c r="W127" t="s">
        <v>1</v>
      </c>
      <c r="X127" t="s">
        <v>1</v>
      </c>
      <c r="Y127" t="s">
        <v>1</v>
      </c>
      <c r="Z127" t="s">
        <v>1</v>
      </c>
      <c r="AA127" t="s">
        <v>1</v>
      </c>
      <c r="AB127" t="s">
        <v>1</v>
      </c>
      <c r="AC127" t="s">
        <v>1</v>
      </c>
      <c r="AD127" t="s">
        <v>1</v>
      </c>
      <c r="AE127" t="s">
        <v>1</v>
      </c>
      <c r="AF127" t="s">
        <v>1</v>
      </c>
      <c r="AG127" t="s">
        <v>1</v>
      </c>
      <c r="AH127" t="s">
        <v>1</v>
      </c>
      <c r="AI127" t="s">
        <v>1</v>
      </c>
      <c r="AJ127" t="s">
        <v>1</v>
      </c>
      <c r="AK127" t="s">
        <v>1</v>
      </c>
      <c r="AL127" t="s">
        <v>1</v>
      </c>
      <c r="AM127" t="s">
        <v>1</v>
      </c>
      <c r="AN127">
        <v>126</v>
      </c>
      <c r="AO127">
        <f t="shared" si="7"/>
        <v>126</v>
      </c>
      <c r="AP127">
        <f t="shared" si="5"/>
        <v>19</v>
      </c>
      <c r="AQ127">
        <f t="shared" si="6"/>
        <v>19</v>
      </c>
      <c r="AR127" s="26" t="s">
        <v>1355</v>
      </c>
      <c r="AS127" s="26" t="s">
        <v>1356</v>
      </c>
      <c r="AT127" t="s">
        <v>711</v>
      </c>
      <c r="AU127" t="s">
        <v>1</v>
      </c>
      <c r="AV127" t="s">
        <v>1</v>
      </c>
      <c r="AW127">
        <v>37.28</v>
      </c>
      <c r="AX127">
        <v>-6.05</v>
      </c>
      <c r="AY127" t="s">
        <v>737</v>
      </c>
      <c r="BA127" s="3">
        <v>3</v>
      </c>
      <c r="BB127" s="3"/>
      <c r="BC127" s="3"/>
      <c r="BD127" s="3"/>
      <c r="BE127" s="3"/>
      <c r="BF127">
        <v>1992</v>
      </c>
      <c r="BG127" s="24" t="s">
        <v>733</v>
      </c>
      <c r="BH127" s="24" t="s">
        <v>733</v>
      </c>
      <c r="BI127" s="24" t="s">
        <v>733</v>
      </c>
      <c r="BJ127" s="24" t="s">
        <v>732</v>
      </c>
      <c r="BK127" s="24" t="s">
        <v>733</v>
      </c>
      <c r="BL127" s="25" t="s">
        <v>733</v>
      </c>
      <c r="BM127" s="24" t="s">
        <v>733</v>
      </c>
      <c r="BN127" s="24" t="s">
        <v>732</v>
      </c>
      <c r="BO127" s="24" t="s">
        <v>733</v>
      </c>
      <c r="BP127" s="24" t="s">
        <v>733</v>
      </c>
      <c r="BQ127" s="24" t="s">
        <v>945</v>
      </c>
      <c r="BR127" s="24" t="s">
        <v>945</v>
      </c>
      <c r="BS127" s="25" t="s">
        <v>934</v>
      </c>
      <c r="BT127" s="24" t="s">
        <v>934</v>
      </c>
      <c r="BU127" s="24" t="s">
        <v>934</v>
      </c>
      <c r="BV127" s="24" t="s">
        <v>934</v>
      </c>
      <c r="BW127" s="24" t="s">
        <v>934</v>
      </c>
      <c r="BX127" s="24" t="s">
        <v>934</v>
      </c>
      <c r="BY127" s="25" t="s">
        <v>945</v>
      </c>
      <c r="BZ127" t="s">
        <v>5</v>
      </c>
      <c r="CB127" t="s">
        <v>1</v>
      </c>
      <c r="CC127" s="4">
        <f>12.5*1000</f>
        <v>12500</v>
      </c>
      <c r="CD127" s="4"/>
      <c r="CE127" s="4"/>
      <c r="CF127" t="s">
        <v>793</v>
      </c>
      <c r="CG127">
        <v>100</v>
      </c>
      <c r="CH127" t="s">
        <v>805</v>
      </c>
      <c r="CI127" s="1">
        <v>0.9</v>
      </c>
      <c r="CJ127" s="9" t="s">
        <v>1</v>
      </c>
      <c r="CK127" s="9" t="s">
        <v>1</v>
      </c>
      <c r="CL127" s="4" t="s">
        <v>1</v>
      </c>
      <c r="CM127" t="s">
        <v>847</v>
      </c>
      <c r="CN127" s="4">
        <v>220</v>
      </c>
      <c r="CO127" s="4"/>
      <c r="CP127" s="4" t="s">
        <v>1</v>
      </c>
      <c r="CQ127" s="4" t="s">
        <v>1</v>
      </c>
      <c r="CR127" s="4" t="s">
        <v>1</v>
      </c>
      <c r="CS127" s="4" t="s">
        <v>1</v>
      </c>
      <c r="CT127" s="4" t="s">
        <v>1</v>
      </c>
      <c r="CU127" s="4" t="s">
        <v>1</v>
      </c>
      <c r="CV127" t="s">
        <v>855</v>
      </c>
      <c r="CW127">
        <v>100</v>
      </c>
      <c r="CX127">
        <v>0</v>
      </c>
      <c r="CY127">
        <v>50</v>
      </c>
      <c r="CZ127" s="26" t="s">
        <v>1358</v>
      </c>
      <c r="DA127" t="s">
        <v>734</v>
      </c>
      <c r="DB127">
        <v>77.5</v>
      </c>
      <c r="DC127">
        <v>0</v>
      </c>
      <c r="DD127">
        <v>50</v>
      </c>
      <c r="DE127" s="26" t="s">
        <v>1358</v>
      </c>
      <c r="DF127" t="s">
        <v>735</v>
      </c>
      <c r="DG127">
        <v>9</v>
      </c>
      <c r="DH127">
        <v>0</v>
      </c>
      <c r="DI127">
        <v>50</v>
      </c>
      <c r="DJ127" s="26" t="s">
        <v>1358</v>
      </c>
      <c r="DK127" t="s">
        <v>736</v>
      </c>
      <c r="DL127">
        <v>13.1</v>
      </c>
      <c r="DM127">
        <v>0</v>
      </c>
      <c r="DN127">
        <v>50</v>
      </c>
      <c r="DO127" s="26" t="s">
        <v>1358</v>
      </c>
      <c r="DP127" t="s">
        <v>6</v>
      </c>
      <c r="DQ127" t="s">
        <v>813</v>
      </c>
      <c r="DR127">
        <v>7.2</v>
      </c>
      <c r="DS127">
        <v>0</v>
      </c>
      <c r="DT127">
        <v>50</v>
      </c>
      <c r="DU127" s="26" t="s">
        <v>1358</v>
      </c>
      <c r="EA127" t="s">
        <v>982</v>
      </c>
      <c r="EB127">
        <v>5.0999999999999996</v>
      </c>
      <c r="EC127">
        <v>0</v>
      </c>
      <c r="ED127">
        <v>50</v>
      </c>
      <c r="EE127" s="26" t="s">
        <v>1358</v>
      </c>
      <c r="EF127" s="26"/>
      <c r="FZ127" t="s">
        <v>806</v>
      </c>
      <c r="GA127">
        <v>123</v>
      </c>
      <c r="GE127" s="26" t="s">
        <v>1358</v>
      </c>
      <c r="HA127" s="5" t="s">
        <v>1</v>
      </c>
      <c r="HB127" s="4" t="s">
        <v>1</v>
      </c>
      <c r="HC127" t="s">
        <v>1</v>
      </c>
      <c r="HD127" t="s">
        <v>1</v>
      </c>
      <c r="HE127" t="s">
        <v>1</v>
      </c>
      <c r="HF127" s="5" t="s">
        <v>1063</v>
      </c>
      <c r="HG127" s="4">
        <v>0.59899999999999998</v>
      </c>
      <c r="HH127">
        <v>0</v>
      </c>
      <c r="HI127">
        <v>50</v>
      </c>
      <c r="HJ127" s="26" t="s">
        <v>1358</v>
      </c>
      <c r="HK127" t="s">
        <v>1</v>
      </c>
      <c r="HL127" t="s">
        <v>1</v>
      </c>
      <c r="HM127" t="s">
        <v>1</v>
      </c>
      <c r="HN127" t="s">
        <v>1</v>
      </c>
      <c r="HO127" t="s">
        <v>1</v>
      </c>
      <c r="HP127" t="s">
        <v>1</v>
      </c>
      <c r="HZ127" t="s">
        <v>1295</v>
      </c>
      <c r="IA127">
        <v>170</v>
      </c>
      <c r="IB127" s="10" t="s">
        <v>822</v>
      </c>
      <c r="IC127" s="10"/>
      <c r="ID127" s="10"/>
      <c r="IE127" s="10" t="s">
        <v>1</v>
      </c>
      <c r="IF127" s="10" t="s">
        <v>1</v>
      </c>
      <c r="IG127" s="10"/>
      <c r="IH127" s="10"/>
      <c r="II127" s="10"/>
      <c r="IJ127" s="10"/>
      <c r="IK127" s="10"/>
      <c r="IL127" s="10"/>
      <c r="IM127" s="10"/>
      <c r="IN127" s="10"/>
      <c r="IO127" s="10"/>
      <c r="IP127" s="10"/>
      <c r="IQ127" s="10"/>
      <c r="IR127" s="10"/>
      <c r="IS127" t="s">
        <v>1</v>
      </c>
      <c r="IT127" t="s">
        <v>1</v>
      </c>
      <c r="IW127" t="s">
        <v>1</v>
      </c>
      <c r="IX127" t="s">
        <v>1</v>
      </c>
      <c r="IY127" t="s">
        <v>808</v>
      </c>
      <c r="IZ127">
        <v>5650</v>
      </c>
      <c r="JA127" t="s">
        <v>1</v>
      </c>
      <c r="JB127" s="3" t="s">
        <v>1</v>
      </c>
      <c r="JC127" t="s">
        <v>1</v>
      </c>
      <c r="JD127" s="4" t="s">
        <v>1</v>
      </c>
      <c r="JE127" t="s">
        <v>1</v>
      </c>
      <c r="JF127" t="s">
        <v>1</v>
      </c>
      <c r="JR127" t="s">
        <v>1066</v>
      </c>
      <c r="JS127">
        <v>113.3</v>
      </c>
      <c r="JU127" t="s">
        <v>1</v>
      </c>
      <c r="JW127" t="s">
        <v>1</v>
      </c>
      <c r="JX127">
        <v>0</v>
      </c>
      <c r="JY127">
        <v>90</v>
      </c>
      <c r="JZ127" t="s">
        <v>800</v>
      </c>
      <c r="KA127" t="s">
        <v>143</v>
      </c>
      <c r="KB127" t="s">
        <v>738</v>
      </c>
      <c r="KC127" t="s">
        <v>1</v>
      </c>
      <c r="KD127" t="s">
        <v>1</v>
      </c>
      <c r="KE127" t="s">
        <v>1</v>
      </c>
      <c r="KF127" t="s">
        <v>1</v>
      </c>
      <c r="KG127" t="s">
        <v>1</v>
      </c>
      <c r="KH127" t="s">
        <v>1</v>
      </c>
      <c r="KI127" t="s">
        <v>1</v>
      </c>
      <c r="KJ127" t="s">
        <v>1</v>
      </c>
      <c r="KK127" t="s">
        <v>1</v>
      </c>
    </row>
    <row r="128" spans="1:297" x14ac:dyDescent="0.2">
      <c r="A128">
        <v>127</v>
      </c>
      <c r="B128" t="s">
        <v>705</v>
      </c>
      <c r="C128" t="s">
        <v>144</v>
      </c>
      <c r="D128" t="s">
        <v>140</v>
      </c>
      <c r="E128">
        <v>19</v>
      </c>
      <c r="F128" t="s">
        <v>141</v>
      </c>
      <c r="G128" t="s">
        <v>1</v>
      </c>
      <c r="H128" s="26" t="s">
        <v>1420</v>
      </c>
      <c r="I128" t="s">
        <v>1</v>
      </c>
      <c r="J128" t="s">
        <v>1</v>
      </c>
      <c r="K128" t="s">
        <v>1</v>
      </c>
      <c r="L128" t="s">
        <v>1</v>
      </c>
      <c r="M128" t="s">
        <v>1</v>
      </c>
      <c r="N128" t="s">
        <v>1</v>
      </c>
      <c r="O128" t="s">
        <v>1</v>
      </c>
      <c r="P128" t="s">
        <v>1</v>
      </c>
      <c r="Q128" t="s">
        <v>1</v>
      </c>
      <c r="R128" t="s">
        <v>1</v>
      </c>
      <c r="S128" t="s">
        <v>1</v>
      </c>
      <c r="T128" t="s">
        <v>1</v>
      </c>
      <c r="U128" t="s">
        <v>1</v>
      </c>
      <c r="V128" t="s">
        <v>1</v>
      </c>
      <c r="W128" t="s">
        <v>1</v>
      </c>
      <c r="X128" t="s">
        <v>1</v>
      </c>
      <c r="Y128" t="s">
        <v>1</v>
      </c>
      <c r="Z128" t="s">
        <v>1</v>
      </c>
      <c r="AA128" t="s">
        <v>1</v>
      </c>
      <c r="AB128" t="s">
        <v>1</v>
      </c>
      <c r="AC128" t="s">
        <v>1</v>
      </c>
      <c r="AD128" t="s">
        <v>1</v>
      </c>
      <c r="AE128" t="s">
        <v>1</v>
      </c>
      <c r="AF128" t="s">
        <v>1</v>
      </c>
      <c r="AG128" t="s">
        <v>1</v>
      </c>
      <c r="AH128" t="s">
        <v>1</v>
      </c>
      <c r="AI128" t="s">
        <v>1</v>
      </c>
      <c r="AJ128" t="s">
        <v>1</v>
      </c>
      <c r="AK128" t="s">
        <v>1</v>
      </c>
      <c r="AL128" t="s">
        <v>1</v>
      </c>
      <c r="AM128" t="s">
        <v>1</v>
      </c>
      <c r="AN128">
        <v>127</v>
      </c>
      <c r="AO128">
        <f t="shared" si="7"/>
        <v>127</v>
      </c>
      <c r="AP128">
        <f t="shared" si="5"/>
        <v>19</v>
      </c>
      <c r="AQ128">
        <f t="shared" si="6"/>
        <v>19</v>
      </c>
      <c r="AR128" s="26" t="s">
        <v>1355</v>
      </c>
      <c r="AS128" s="26" t="s">
        <v>1356</v>
      </c>
      <c r="AT128" t="s">
        <v>711</v>
      </c>
      <c r="AU128" t="s">
        <v>1</v>
      </c>
      <c r="AV128" t="s">
        <v>1</v>
      </c>
      <c r="AW128">
        <v>37.28</v>
      </c>
      <c r="AX128">
        <v>-6.05</v>
      </c>
      <c r="AY128" t="s">
        <v>737</v>
      </c>
      <c r="BA128" s="3">
        <v>3</v>
      </c>
      <c r="BB128" s="3"/>
      <c r="BC128" s="3"/>
      <c r="BD128" s="3"/>
      <c r="BE128" s="3"/>
      <c r="BF128">
        <v>1992</v>
      </c>
      <c r="BG128" s="24" t="s">
        <v>733</v>
      </c>
      <c r="BH128" s="24" t="s">
        <v>733</v>
      </c>
      <c r="BI128" s="24" t="s">
        <v>733</v>
      </c>
      <c r="BJ128" s="24" t="s">
        <v>732</v>
      </c>
      <c r="BK128" s="24" t="s">
        <v>733</v>
      </c>
      <c r="BL128" s="25" t="s">
        <v>733</v>
      </c>
      <c r="BM128" s="24" t="s">
        <v>733</v>
      </c>
      <c r="BN128" s="24" t="s">
        <v>732</v>
      </c>
      <c r="BO128" s="24" t="s">
        <v>733</v>
      </c>
      <c r="BP128" s="24" t="s">
        <v>733</v>
      </c>
      <c r="BQ128" s="24" t="s">
        <v>945</v>
      </c>
      <c r="BR128" s="24" t="s">
        <v>945</v>
      </c>
      <c r="BS128" s="25" t="s">
        <v>934</v>
      </c>
      <c r="BT128" s="24" t="s">
        <v>934</v>
      </c>
      <c r="BU128" s="24" t="s">
        <v>934</v>
      </c>
      <c r="BV128" s="24" t="s">
        <v>934</v>
      </c>
      <c r="BW128" s="24" t="s">
        <v>934</v>
      </c>
      <c r="BX128" s="24" t="s">
        <v>934</v>
      </c>
      <c r="BY128" s="25" t="s">
        <v>945</v>
      </c>
      <c r="BZ128" t="s">
        <v>5</v>
      </c>
      <c r="CB128" t="s">
        <v>1</v>
      </c>
      <c r="CC128" s="4">
        <f>12.5*1000</f>
        <v>12500</v>
      </c>
      <c r="CD128" s="4"/>
      <c r="CE128" s="4"/>
      <c r="CF128" t="s">
        <v>793</v>
      </c>
      <c r="CG128">
        <v>100</v>
      </c>
      <c r="CH128" t="s">
        <v>805</v>
      </c>
      <c r="CI128" s="1">
        <v>0.9</v>
      </c>
      <c r="CJ128" s="9" t="s">
        <v>1</v>
      </c>
      <c r="CK128" s="9" t="s">
        <v>1</v>
      </c>
      <c r="CL128" s="4" t="s">
        <v>1</v>
      </c>
      <c r="CM128" t="s">
        <v>847</v>
      </c>
      <c r="CN128" s="4">
        <v>270</v>
      </c>
      <c r="CO128" s="4"/>
      <c r="CP128" s="4" t="s">
        <v>1</v>
      </c>
      <c r="CQ128" s="4" t="s">
        <v>1</v>
      </c>
      <c r="CR128" s="4" t="s">
        <v>1</v>
      </c>
      <c r="CS128" s="4" t="s">
        <v>1</v>
      </c>
      <c r="CT128" s="4" t="s">
        <v>1</v>
      </c>
      <c r="CU128" s="4" t="s">
        <v>1</v>
      </c>
      <c r="CV128" t="s">
        <v>855</v>
      </c>
      <c r="CW128">
        <v>100</v>
      </c>
      <c r="CX128">
        <v>0</v>
      </c>
      <c r="CY128">
        <v>50</v>
      </c>
      <c r="CZ128" s="26" t="s">
        <v>1358</v>
      </c>
      <c r="DA128" t="s">
        <v>734</v>
      </c>
      <c r="DB128">
        <v>77.5</v>
      </c>
      <c r="DC128">
        <v>0</v>
      </c>
      <c r="DD128">
        <v>50</v>
      </c>
      <c r="DE128" s="26" t="s">
        <v>1358</v>
      </c>
      <c r="DF128" t="s">
        <v>735</v>
      </c>
      <c r="DG128">
        <v>9</v>
      </c>
      <c r="DH128">
        <v>0</v>
      </c>
      <c r="DI128">
        <v>50</v>
      </c>
      <c r="DJ128" s="26" t="s">
        <v>1358</v>
      </c>
      <c r="DK128" t="s">
        <v>736</v>
      </c>
      <c r="DL128">
        <v>13.1</v>
      </c>
      <c r="DM128">
        <v>0</v>
      </c>
      <c r="DN128">
        <v>50</v>
      </c>
      <c r="DO128" s="26" t="s">
        <v>1358</v>
      </c>
      <c r="DP128" t="s">
        <v>6</v>
      </c>
      <c r="DQ128" t="s">
        <v>813</v>
      </c>
      <c r="DR128">
        <v>7.2</v>
      </c>
      <c r="DS128">
        <v>0</v>
      </c>
      <c r="DT128">
        <v>50</v>
      </c>
      <c r="DU128" s="26" t="s">
        <v>1358</v>
      </c>
      <c r="EA128" t="s">
        <v>982</v>
      </c>
      <c r="EB128">
        <v>5.0999999999999996</v>
      </c>
      <c r="EC128">
        <v>0</v>
      </c>
      <c r="ED128">
        <v>50</v>
      </c>
      <c r="EE128" s="26" t="s">
        <v>1358</v>
      </c>
      <c r="EF128" s="26"/>
      <c r="FZ128" t="s">
        <v>806</v>
      </c>
      <c r="GA128">
        <v>123</v>
      </c>
      <c r="GE128" s="26" t="s">
        <v>1358</v>
      </c>
      <c r="HA128" s="5" t="s">
        <v>1</v>
      </c>
      <c r="HB128" s="4" t="s">
        <v>1</v>
      </c>
      <c r="HC128" t="s">
        <v>1</v>
      </c>
      <c r="HD128" t="s">
        <v>1</v>
      </c>
      <c r="HE128" t="s">
        <v>1</v>
      </c>
      <c r="HF128" s="5" t="s">
        <v>1063</v>
      </c>
      <c r="HG128" s="4">
        <v>0.59899999999999998</v>
      </c>
      <c r="HH128">
        <v>0</v>
      </c>
      <c r="HI128">
        <v>50</v>
      </c>
      <c r="HJ128" s="26" t="s">
        <v>1358</v>
      </c>
      <c r="HK128" t="s">
        <v>1</v>
      </c>
      <c r="HL128" t="s">
        <v>1</v>
      </c>
      <c r="HM128" t="s">
        <v>1</v>
      </c>
      <c r="HN128" t="s">
        <v>1</v>
      </c>
      <c r="HO128" t="s">
        <v>1</v>
      </c>
      <c r="HP128" t="s">
        <v>1</v>
      </c>
      <c r="HZ128" t="s">
        <v>1295</v>
      </c>
      <c r="IA128">
        <v>510</v>
      </c>
      <c r="IB128" s="10" t="s">
        <v>822</v>
      </c>
      <c r="IC128" s="10"/>
      <c r="ID128" s="10"/>
      <c r="IE128" s="10" t="s">
        <v>1</v>
      </c>
      <c r="IF128" s="10" t="s">
        <v>1</v>
      </c>
      <c r="IG128" s="10"/>
      <c r="IH128" s="10"/>
      <c r="II128" s="10"/>
      <c r="IJ128" s="10"/>
      <c r="IK128" s="10"/>
      <c r="IL128" s="10"/>
      <c r="IM128" s="10"/>
      <c r="IN128" s="10"/>
      <c r="IO128" s="10"/>
      <c r="IP128" s="10"/>
      <c r="IQ128" s="10"/>
      <c r="IR128" s="10"/>
      <c r="IS128" t="s">
        <v>1</v>
      </c>
      <c r="IT128" t="s">
        <v>1</v>
      </c>
      <c r="IW128" t="s">
        <v>1</v>
      </c>
      <c r="IX128" t="s">
        <v>1</v>
      </c>
      <c r="IY128" t="s">
        <v>808</v>
      </c>
      <c r="IZ128">
        <v>5650</v>
      </c>
      <c r="JA128" t="s">
        <v>1</v>
      </c>
      <c r="JB128" s="3" t="s">
        <v>1</v>
      </c>
      <c r="JC128" t="s">
        <v>1</v>
      </c>
      <c r="JD128" s="4" t="s">
        <v>1</v>
      </c>
      <c r="JE128" t="s">
        <v>1</v>
      </c>
      <c r="JF128" t="s">
        <v>1</v>
      </c>
      <c r="JR128" t="s">
        <v>1066</v>
      </c>
      <c r="JS128">
        <v>290.8</v>
      </c>
      <c r="JU128" t="s">
        <v>1</v>
      </c>
      <c r="JW128" t="s">
        <v>1</v>
      </c>
      <c r="JX128">
        <v>0</v>
      </c>
      <c r="JY128">
        <v>90</v>
      </c>
      <c r="JZ128" t="s">
        <v>800</v>
      </c>
      <c r="KA128" t="s">
        <v>143</v>
      </c>
      <c r="KB128" t="s">
        <v>738</v>
      </c>
      <c r="KC128" t="s">
        <v>1</v>
      </c>
      <c r="KD128" t="s">
        <v>1</v>
      </c>
      <c r="KE128" t="s">
        <v>1</v>
      </c>
      <c r="KF128" t="s">
        <v>1</v>
      </c>
      <c r="KG128" t="s">
        <v>1</v>
      </c>
      <c r="KH128" t="s">
        <v>1</v>
      </c>
      <c r="KI128" t="s">
        <v>1</v>
      </c>
      <c r="KJ128" t="s">
        <v>1</v>
      </c>
      <c r="KK128" t="s">
        <v>1</v>
      </c>
    </row>
    <row r="129" spans="1:297" x14ac:dyDescent="0.2">
      <c r="A129">
        <v>128</v>
      </c>
      <c r="B129" t="s">
        <v>705</v>
      </c>
      <c r="C129" t="s">
        <v>146</v>
      </c>
      <c r="D129" t="s">
        <v>145</v>
      </c>
      <c r="E129">
        <v>20</v>
      </c>
      <c r="F129" t="s">
        <v>1314</v>
      </c>
      <c r="G129" t="s">
        <v>1</v>
      </c>
      <c r="H129" s="26" t="s">
        <v>1420</v>
      </c>
      <c r="I129" t="s">
        <v>1</v>
      </c>
      <c r="J129" t="s">
        <v>1</v>
      </c>
      <c r="K129" t="s">
        <v>1</v>
      </c>
      <c r="L129" t="s">
        <v>1</v>
      </c>
      <c r="M129" t="s">
        <v>1</v>
      </c>
      <c r="N129" t="s">
        <v>1</v>
      </c>
      <c r="O129" t="s">
        <v>1</v>
      </c>
      <c r="P129" t="s">
        <v>1</v>
      </c>
      <c r="Q129" t="s">
        <v>1</v>
      </c>
      <c r="R129" t="s">
        <v>1</v>
      </c>
      <c r="S129" t="s">
        <v>1</v>
      </c>
      <c r="T129" t="s">
        <v>1</v>
      </c>
      <c r="U129" t="s">
        <v>1</v>
      </c>
      <c r="V129" t="s">
        <v>1</v>
      </c>
      <c r="W129" t="s">
        <v>1</v>
      </c>
      <c r="X129" t="s">
        <v>1</v>
      </c>
      <c r="Y129" t="s">
        <v>1</v>
      </c>
      <c r="Z129" t="s">
        <v>1</v>
      </c>
      <c r="AA129" t="s">
        <v>1</v>
      </c>
      <c r="AB129" t="s">
        <v>1</v>
      </c>
      <c r="AC129" t="s">
        <v>1</v>
      </c>
      <c r="AD129" t="s">
        <v>1</v>
      </c>
      <c r="AE129" t="s">
        <v>1</v>
      </c>
      <c r="AF129" t="s">
        <v>1</v>
      </c>
      <c r="AG129" t="s">
        <v>1</v>
      </c>
      <c r="AH129" t="s">
        <v>1</v>
      </c>
      <c r="AI129" t="s">
        <v>1</v>
      </c>
      <c r="AJ129" t="s">
        <v>1</v>
      </c>
      <c r="AK129" t="s">
        <v>1</v>
      </c>
      <c r="AL129" t="s">
        <v>1</v>
      </c>
      <c r="AM129" t="s">
        <v>1</v>
      </c>
      <c r="AN129">
        <v>128</v>
      </c>
      <c r="AO129">
        <f t="shared" si="7"/>
        <v>128</v>
      </c>
      <c r="AP129">
        <f t="shared" si="5"/>
        <v>20</v>
      </c>
      <c r="AQ129">
        <f t="shared" si="6"/>
        <v>20</v>
      </c>
      <c r="AR129" s="26" t="s">
        <v>1355</v>
      </c>
      <c r="AS129" s="26" t="s">
        <v>1356</v>
      </c>
      <c r="AT129" t="s">
        <v>713</v>
      </c>
      <c r="AU129" t="s">
        <v>1</v>
      </c>
      <c r="AV129" t="s">
        <v>1</v>
      </c>
      <c r="AW129">
        <v>42.2</v>
      </c>
      <c r="AX129">
        <v>-93.6</v>
      </c>
      <c r="AY129" t="s">
        <v>737</v>
      </c>
      <c r="BA129" s="3">
        <v>3</v>
      </c>
      <c r="BB129" s="3"/>
      <c r="BC129" s="3"/>
      <c r="BD129" s="3"/>
      <c r="BE129" s="3"/>
      <c r="BF129">
        <v>1996</v>
      </c>
      <c r="BG129" s="24" t="s">
        <v>733</v>
      </c>
      <c r="BH129" s="24" t="s">
        <v>733</v>
      </c>
      <c r="BI129" s="24" t="s">
        <v>733</v>
      </c>
      <c r="BJ129" s="24" t="s">
        <v>732</v>
      </c>
      <c r="BK129" s="24" t="s">
        <v>733</v>
      </c>
      <c r="BL129" s="25" t="s">
        <v>733</v>
      </c>
      <c r="BM129" s="24" t="s">
        <v>733</v>
      </c>
      <c r="BN129" s="24" t="s">
        <v>732</v>
      </c>
      <c r="BO129" s="24" t="s">
        <v>733</v>
      </c>
      <c r="BP129" s="24" t="s">
        <v>733</v>
      </c>
      <c r="BQ129" s="24" t="s">
        <v>945</v>
      </c>
      <c r="BR129" s="24" t="s">
        <v>945</v>
      </c>
      <c r="BS129" s="25" t="s">
        <v>934</v>
      </c>
      <c r="BT129" s="24" t="s">
        <v>934</v>
      </c>
      <c r="BU129" s="24" t="s">
        <v>934</v>
      </c>
      <c r="BV129" s="24" t="s">
        <v>934</v>
      </c>
      <c r="BW129" s="24" t="s">
        <v>934</v>
      </c>
      <c r="BX129" s="24" t="s">
        <v>934</v>
      </c>
      <c r="BY129" s="25" t="s">
        <v>945</v>
      </c>
      <c r="BZ129" t="s">
        <v>5</v>
      </c>
      <c r="CB129" t="s">
        <v>1</v>
      </c>
      <c r="CC129" s="4">
        <f>6.5787*84.5%*1000</f>
        <v>5559.0015000000003</v>
      </c>
      <c r="CD129" s="4"/>
      <c r="CE129" s="4"/>
      <c r="CF129" t="s">
        <v>793</v>
      </c>
      <c r="CG129">
        <v>100</v>
      </c>
      <c r="CH129" t="s">
        <v>805</v>
      </c>
      <c r="CI129" s="1">
        <v>1.6</v>
      </c>
      <c r="CJ129" s="10" t="s">
        <v>1442</v>
      </c>
      <c r="CK129" s="9" t="s">
        <v>1</v>
      </c>
      <c r="CL129" s="4" t="s">
        <v>1</v>
      </c>
      <c r="CM129" t="s">
        <v>848</v>
      </c>
      <c r="CN129" s="4">
        <f>53</f>
        <v>53</v>
      </c>
      <c r="CO129" s="4"/>
      <c r="CP129" s="4" t="s">
        <v>1</v>
      </c>
      <c r="CQ129" s="4" t="s">
        <v>1</v>
      </c>
      <c r="CR129" s="4" t="s">
        <v>1</v>
      </c>
      <c r="CS129" s="4" t="s">
        <v>1</v>
      </c>
      <c r="CT129" s="4" t="s">
        <v>1</v>
      </c>
      <c r="CU129" s="4" t="s">
        <v>1</v>
      </c>
      <c r="CV129" t="s">
        <v>1</v>
      </c>
      <c r="CW129" t="s">
        <v>1</v>
      </c>
      <c r="CX129" t="s">
        <v>1</v>
      </c>
      <c r="CY129" t="s">
        <v>1</v>
      </c>
      <c r="CZ129" t="s">
        <v>1</v>
      </c>
      <c r="DA129" t="s">
        <v>734</v>
      </c>
      <c r="DB129">
        <v>21.5</v>
      </c>
      <c r="DC129">
        <v>0</v>
      </c>
      <c r="DD129">
        <v>30</v>
      </c>
      <c r="DE129" s="26" t="s">
        <v>1358</v>
      </c>
      <c r="DF129" t="s">
        <v>735</v>
      </c>
      <c r="DG129">
        <v>33</v>
      </c>
      <c r="DH129">
        <v>0</v>
      </c>
      <c r="DI129">
        <v>30</v>
      </c>
      <c r="DJ129" s="26" t="s">
        <v>1358</v>
      </c>
      <c r="DK129" t="s">
        <v>736</v>
      </c>
      <c r="DL129">
        <v>45.5</v>
      </c>
      <c r="DM129">
        <v>0</v>
      </c>
      <c r="DN129">
        <v>30</v>
      </c>
      <c r="DO129" s="26" t="s">
        <v>1358</v>
      </c>
      <c r="DP129" t="s">
        <v>1</v>
      </c>
      <c r="DQ129" t="s">
        <v>1</v>
      </c>
      <c r="DR129" t="s">
        <v>1</v>
      </c>
      <c r="DS129" t="s">
        <v>1</v>
      </c>
      <c r="DT129" t="s">
        <v>1</v>
      </c>
      <c r="DU129" t="s">
        <v>1</v>
      </c>
      <c r="EA129" t="s">
        <v>982</v>
      </c>
      <c r="EB129">
        <v>28</v>
      </c>
      <c r="EC129">
        <v>0</v>
      </c>
      <c r="ED129">
        <v>30</v>
      </c>
      <c r="EE129" s="26" t="s">
        <v>1358</v>
      </c>
      <c r="EF129" s="26"/>
      <c r="FZ129" t="s">
        <v>806</v>
      </c>
      <c r="GA129">
        <v>1019</v>
      </c>
      <c r="GE129" s="26" t="s">
        <v>1358</v>
      </c>
      <c r="HA129" s="5" t="s">
        <v>1</v>
      </c>
      <c r="HB129" s="4" t="s">
        <v>1</v>
      </c>
      <c r="HC129" t="s">
        <v>1</v>
      </c>
      <c r="HD129" t="s">
        <v>1</v>
      </c>
      <c r="HE129" t="s">
        <v>1</v>
      </c>
      <c r="HF129" s="5" t="s">
        <v>1</v>
      </c>
      <c r="HG129" s="4" t="s">
        <v>1</v>
      </c>
      <c r="HH129" t="s">
        <v>1</v>
      </c>
      <c r="HI129" t="s">
        <v>1</v>
      </c>
      <c r="HJ129" t="s">
        <v>1</v>
      </c>
      <c r="HK129" t="s">
        <v>815</v>
      </c>
      <c r="HL129">
        <v>1.19</v>
      </c>
      <c r="HM129">
        <v>0</v>
      </c>
      <c r="HN129">
        <v>30</v>
      </c>
      <c r="HO129" t="s">
        <v>1</v>
      </c>
      <c r="HP129" s="26" t="s">
        <v>1358</v>
      </c>
      <c r="HZ129" t="s">
        <v>1295</v>
      </c>
      <c r="IA129">
        <v>67</v>
      </c>
      <c r="IB129" s="10" t="s">
        <v>823</v>
      </c>
      <c r="IC129" s="10"/>
      <c r="ID129" s="10"/>
      <c r="IE129" s="10" t="s">
        <v>1</v>
      </c>
      <c r="IF129" s="10" t="s">
        <v>1</v>
      </c>
      <c r="IG129" s="10"/>
      <c r="IH129" s="10"/>
      <c r="II129" s="10"/>
      <c r="IJ129" s="10"/>
      <c r="IK129" s="10"/>
      <c r="IL129" s="10"/>
      <c r="IM129" s="10"/>
      <c r="IN129" s="10"/>
      <c r="IO129" s="10"/>
      <c r="IP129" s="10"/>
      <c r="IQ129" s="10"/>
      <c r="IR129" s="10"/>
      <c r="IS129" t="s">
        <v>1</v>
      </c>
      <c r="IT129" t="s">
        <v>1</v>
      </c>
      <c r="IW129" t="s">
        <v>1</v>
      </c>
      <c r="IX129" t="s">
        <v>1</v>
      </c>
      <c r="IY129" t="s">
        <v>1</v>
      </c>
      <c r="IZ129" t="s">
        <v>1</v>
      </c>
      <c r="JA129" t="s">
        <v>1065</v>
      </c>
      <c r="JB129" s="4">
        <v>15</v>
      </c>
      <c r="JC129" t="s">
        <v>1</v>
      </c>
      <c r="JD129" s="4" t="s">
        <v>1</v>
      </c>
      <c r="JE129" t="s">
        <v>810</v>
      </c>
      <c r="JF129">
        <v>100</v>
      </c>
      <c r="JR129" t="s">
        <v>1066</v>
      </c>
      <c r="JS129">
        <v>163.80000000000001</v>
      </c>
      <c r="JU129" t="s">
        <v>1</v>
      </c>
      <c r="JW129" t="s">
        <v>1</v>
      </c>
      <c r="JX129">
        <v>0</v>
      </c>
      <c r="JY129">
        <v>122</v>
      </c>
      <c r="JZ129" t="s">
        <v>797</v>
      </c>
      <c r="KA129" t="s">
        <v>147</v>
      </c>
      <c r="KB129" t="s">
        <v>738</v>
      </c>
      <c r="KC129" t="s">
        <v>1</v>
      </c>
      <c r="KD129" t="s">
        <v>1</v>
      </c>
      <c r="KE129" t="s">
        <v>1</v>
      </c>
      <c r="KF129" t="s">
        <v>1</v>
      </c>
      <c r="KG129" t="s">
        <v>1</v>
      </c>
      <c r="KH129" t="s">
        <v>1</v>
      </c>
      <c r="KI129" t="s">
        <v>1</v>
      </c>
      <c r="KJ129" t="s">
        <v>1</v>
      </c>
      <c r="KK129" t="s">
        <v>1</v>
      </c>
    </row>
    <row r="130" spans="1:297" x14ac:dyDescent="0.2">
      <c r="A130">
        <v>129</v>
      </c>
      <c r="B130" t="s">
        <v>705</v>
      </c>
      <c r="C130" t="s">
        <v>148</v>
      </c>
      <c r="D130" t="s">
        <v>145</v>
      </c>
      <c r="E130">
        <v>20</v>
      </c>
      <c r="F130" t="s">
        <v>1314</v>
      </c>
      <c r="G130" t="s">
        <v>1</v>
      </c>
      <c r="H130" s="26" t="s">
        <v>1420</v>
      </c>
      <c r="I130" t="s">
        <v>1</v>
      </c>
      <c r="J130" t="s">
        <v>1</v>
      </c>
      <c r="K130" t="s">
        <v>1</v>
      </c>
      <c r="L130" t="s">
        <v>1</v>
      </c>
      <c r="M130" t="s">
        <v>1</v>
      </c>
      <c r="N130" t="s">
        <v>1</v>
      </c>
      <c r="O130" t="s">
        <v>1</v>
      </c>
      <c r="P130" t="s">
        <v>1</v>
      </c>
      <c r="Q130" t="s">
        <v>1</v>
      </c>
      <c r="R130" t="s">
        <v>1</v>
      </c>
      <c r="S130" t="s">
        <v>1</v>
      </c>
      <c r="T130" t="s">
        <v>1</v>
      </c>
      <c r="U130" t="s">
        <v>1</v>
      </c>
      <c r="V130" t="s">
        <v>1</v>
      </c>
      <c r="W130" t="s">
        <v>1</v>
      </c>
      <c r="X130" t="s">
        <v>1</v>
      </c>
      <c r="Y130" t="s">
        <v>1</v>
      </c>
      <c r="Z130" t="s">
        <v>1</v>
      </c>
      <c r="AA130" t="s">
        <v>1</v>
      </c>
      <c r="AB130" t="s">
        <v>1</v>
      </c>
      <c r="AC130" t="s">
        <v>1</v>
      </c>
      <c r="AD130" t="s">
        <v>1</v>
      </c>
      <c r="AE130" t="s">
        <v>1</v>
      </c>
      <c r="AF130" t="s">
        <v>1</v>
      </c>
      <c r="AG130" t="s">
        <v>1</v>
      </c>
      <c r="AH130" t="s">
        <v>1</v>
      </c>
      <c r="AI130" t="s">
        <v>1</v>
      </c>
      <c r="AJ130" t="s">
        <v>1</v>
      </c>
      <c r="AK130" t="s">
        <v>1</v>
      </c>
      <c r="AL130" t="s">
        <v>1</v>
      </c>
      <c r="AM130" t="s">
        <v>1</v>
      </c>
      <c r="AN130">
        <v>129</v>
      </c>
      <c r="AO130">
        <f t="shared" si="7"/>
        <v>129</v>
      </c>
      <c r="AP130">
        <f t="shared" ref="AP130:AP193" si="10">E130</f>
        <v>20</v>
      </c>
      <c r="AQ130">
        <f t="shared" ref="AQ130:AQ193" si="11">E130</f>
        <v>20</v>
      </c>
      <c r="AR130" s="26" t="s">
        <v>1355</v>
      </c>
      <c r="AS130" s="26" t="s">
        <v>1356</v>
      </c>
      <c r="AT130" t="s">
        <v>713</v>
      </c>
      <c r="AU130" t="s">
        <v>1</v>
      </c>
      <c r="AV130" t="s">
        <v>1</v>
      </c>
      <c r="AW130">
        <v>42.2</v>
      </c>
      <c r="AX130">
        <v>-93.6</v>
      </c>
      <c r="AY130" t="s">
        <v>737</v>
      </c>
      <c r="BA130" s="3">
        <v>3</v>
      </c>
      <c r="BB130" s="3"/>
      <c r="BC130" s="3"/>
      <c r="BD130" s="3"/>
      <c r="BE130" s="3"/>
      <c r="BF130">
        <v>1996</v>
      </c>
      <c r="BG130" s="24" t="s">
        <v>733</v>
      </c>
      <c r="BH130" s="24" t="s">
        <v>733</v>
      </c>
      <c r="BI130" s="24" t="s">
        <v>733</v>
      </c>
      <c r="BJ130" s="24" t="s">
        <v>732</v>
      </c>
      <c r="BK130" s="24" t="s">
        <v>733</v>
      </c>
      <c r="BL130" s="25" t="s">
        <v>733</v>
      </c>
      <c r="BM130" s="24" t="s">
        <v>733</v>
      </c>
      <c r="BN130" s="24" t="s">
        <v>732</v>
      </c>
      <c r="BO130" s="24" t="s">
        <v>733</v>
      </c>
      <c r="BP130" s="24" t="s">
        <v>733</v>
      </c>
      <c r="BQ130" s="24" t="s">
        <v>945</v>
      </c>
      <c r="BR130" s="24" t="s">
        <v>945</v>
      </c>
      <c r="BS130" s="25" t="s">
        <v>934</v>
      </c>
      <c r="BT130" s="24" t="s">
        <v>934</v>
      </c>
      <c r="BU130" s="24" t="s">
        <v>934</v>
      </c>
      <c r="BV130" s="24" t="s">
        <v>934</v>
      </c>
      <c r="BW130" s="24" t="s">
        <v>934</v>
      </c>
      <c r="BX130" s="24" t="s">
        <v>934</v>
      </c>
      <c r="BY130" s="25" t="s">
        <v>945</v>
      </c>
      <c r="BZ130" t="s">
        <v>5</v>
      </c>
      <c r="CB130" t="s">
        <v>1</v>
      </c>
      <c r="CC130" s="4">
        <f>9.8538*84.5%*1000</f>
        <v>8326.4609999999993</v>
      </c>
      <c r="CD130" s="4"/>
      <c r="CE130" s="4"/>
      <c r="CF130" t="s">
        <v>793</v>
      </c>
      <c r="CG130">
        <v>100</v>
      </c>
      <c r="CH130" t="s">
        <v>805</v>
      </c>
      <c r="CI130" s="1">
        <v>1.6</v>
      </c>
      <c r="CJ130" s="10" t="s">
        <v>1442</v>
      </c>
      <c r="CK130" s="9" t="s">
        <v>1</v>
      </c>
      <c r="CL130" s="4" t="s">
        <v>1</v>
      </c>
      <c r="CM130" t="s">
        <v>848</v>
      </c>
      <c r="CN130" s="4">
        <f>93</f>
        <v>93</v>
      </c>
      <c r="CO130" s="4"/>
      <c r="CP130" s="4" t="s">
        <v>1</v>
      </c>
      <c r="CQ130" s="4" t="s">
        <v>1</v>
      </c>
      <c r="CR130" s="4" t="s">
        <v>1</v>
      </c>
      <c r="CS130" s="4" t="s">
        <v>1</v>
      </c>
      <c r="CT130" s="4" t="s">
        <v>1</v>
      </c>
      <c r="CU130" s="4" t="s">
        <v>1</v>
      </c>
      <c r="CV130" t="s">
        <v>1</v>
      </c>
      <c r="CW130" t="s">
        <v>1</v>
      </c>
      <c r="CX130" t="s">
        <v>1</v>
      </c>
      <c r="CY130" t="s">
        <v>1</v>
      </c>
      <c r="CZ130" t="s">
        <v>1</v>
      </c>
      <c r="DA130" t="s">
        <v>734</v>
      </c>
      <c r="DB130">
        <v>21.5</v>
      </c>
      <c r="DC130">
        <v>0</v>
      </c>
      <c r="DD130">
        <v>30</v>
      </c>
      <c r="DE130" s="26" t="s">
        <v>1358</v>
      </c>
      <c r="DF130" t="s">
        <v>735</v>
      </c>
      <c r="DG130">
        <v>33</v>
      </c>
      <c r="DH130">
        <v>0</v>
      </c>
      <c r="DI130">
        <v>30</v>
      </c>
      <c r="DJ130" s="26" t="s">
        <v>1358</v>
      </c>
      <c r="DK130" t="s">
        <v>736</v>
      </c>
      <c r="DL130">
        <v>45.5</v>
      </c>
      <c r="DM130">
        <v>0</v>
      </c>
      <c r="DN130">
        <v>30</v>
      </c>
      <c r="DO130" s="26" t="s">
        <v>1358</v>
      </c>
      <c r="DP130" t="s">
        <v>1</v>
      </c>
      <c r="DQ130" t="s">
        <v>1</v>
      </c>
      <c r="DR130" t="s">
        <v>1</v>
      </c>
      <c r="DS130" t="s">
        <v>1</v>
      </c>
      <c r="DT130" t="s">
        <v>1</v>
      </c>
      <c r="DU130" t="s">
        <v>1</v>
      </c>
      <c r="EA130" t="s">
        <v>982</v>
      </c>
      <c r="EB130">
        <v>28</v>
      </c>
      <c r="EC130">
        <v>0</v>
      </c>
      <c r="ED130">
        <v>30</v>
      </c>
      <c r="EE130" s="26" t="s">
        <v>1358</v>
      </c>
      <c r="EF130" s="26"/>
      <c r="FZ130" t="s">
        <v>806</v>
      </c>
      <c r="GA130">
        <v>1019</v>
      </c>
      <c r="GE130" s="26" t="s">
        <v>1358</v>
      </c>
      <c r="HA130" s="5" t="s">
        <v>1</v>
      </c>
      <c r="HB130" s="4" t="s">
        <v>1</v>
      </c>
      <c r="HC130" t="s">
        <v>1</v>
      </c>
      <c r="HD130" t="s">
        <v>1</v>
      </c>
      <c r="HE130" t="s">
        <v>1</v>
      </c>
      <c r="HF130" s="5" t="s">
        <v>1</v>
      </c>
      <c r="HG130" s="4" t="s">
        <v>1</v>
      </c>
      <c r="HH130" t="s">
        <v>1</v>
      </c>
      <c r="HI130" t="s">
        <v>1</v>
      </c>
      <c r="HJ130" t="s">
        <v>1</v>
      </c>
      <c r="HK130" t="s">
        <v>815</v>
      </c>
      <c r="HL130">
        <v>1.19</v>
      </c>
      <c r="HM130">
        <v>0</v>
      </c>
      <c r="HN130">
        <v>30</v>
      </c>
      <c r="HO130" t="s">
        <v>1</v>
      </c>
      <c r="HP130" s="26" t="s">
        <v>1358</v>
      </c>
      <c r="HZ130" t="s">
        <v>1295</v>
      </c>
      <c r="IA130">
        <v>135</v>
      </c>
      <c r="IB130" s="10" t="s">
        <v>823</v>
      </c>
      <c r="IC130" s="10"/>
      <c r="ID130" s="10"/>
      <c r="IE130" s="10" t="s">
        <v>1</v>
      </c>
      <c r="IF130" s="10" t="s">
        <v>1</v>
      </c>
      <c r="IG130" s="10"/>
      <c r="IH130" s="10"/>
      <c r="II130" s="10"/>
      <c r="IJ130" s="10"/>
      <c r="IK130" s="10"/>
      <c r="IL130" s="10"/>
      <c r="IM130" s="10"/>
      <c r="IN130" s="10"/>
      <c r="IO130" s="10"/>
      <c r="IP130" s="10"/>
      <c r="IQ130" s="10"/>
      <c r="IR130" s="10"/>
      <c r="IS130" t="s">
        <v>1</v>
      </c>
      <c r="IT130" t="s">
        <v>1</v>
      </c>
      <c r="IW130" t="s">
        <v>1</v>
      </c>
      <c r="IX130" t="s">
        <v>1</v>
      </c>
      <c r="IY130" t="s">
        <v>1</v>
      </c>
      <c r="IZ130" t="s">
        <v>1</v>
      </c>
      <c r="JA130" t="s">
        <v>1065</v>
      </c>
      <c r="JB130" s="4">
        <v>15</v>
      </c>
      <c r="JC130" t="s">
        <v>1</v>
      </c>
      <c r="JD130" s="4" t="s">
        <v>1</v>
      </c>
      <c r="JE130" t="s">
        <v>810</v>
      </c>
      <c r="JF130">
        <v>100</v>
      </c>
      <c r="JR130" t="s">
        <v>1066</v>
      </c>
      <c r="JS130">
        <v>208.1</v>
      </c>
      <c r="JU130" t="s">
        <v>1</v>
      </c>
      <c r="JW130" t="s">
        <v>1</v>
      </c>
      <c r="JX130">
        <v>0</v>
      </c>
      <c r="JY130">
        <v>122</v>
      </c>
      <c r="JZ130" t="s">
        <v>797</v>
      </c>
      <c r="KA130" t="s">
        <v>147</v>
      </c>
      <c r="KB130" t="s">
        <v>738</v>
      </c>
      <c r="KC130" t="s">
        <v>1</v>
      </c>
      <c r="KD130" t="s">
        <v>1</v>
      </c>
      <c r="KE130" t="s">
        <v>1</v>
      </c>
      <c r="KF130" t="s">
        <v>1</v>
      </c>
      <c r="KG130" t="s">
        <v>1</v>
      </c>
      <c r="KH130" t="s">
        <v>1</v>
      </c>
      <c r="KI130" t="s">
        <v>1</v>
      </c>
      <c r="KJ130" t="s">
        <v>1</v>
      </c>
      <c r="KK130" t="s">
        <v>1</v>
      </c>
    </row>
    <row r="131" spans="1:297" x14ac:dyDescent="0.2">
      <c r="A131">
        <v>130</v>
      </c>
      <c r="B131" t="s">
        <v>705</v>
      </c>
      <c r="C131" t="s">
        <v>149</v>
      </c>
      <c r="D131" t="s">
        <v>145</v>
      </c>
      <c r="E131">
        <v>20</v>
      </c>
      <c r="F131" t="s">
        <v>1314</v>
      </c>
      <c r="G131" t="s">
        <v>1</v>
      </c>
      <c r="H131" s="26" t="s">
        <v>1420</v>
      </c>
      <c r="I131" t="s">
        <v>1</v>
      </c>
      <c r="J131" t="s">
        <v>1</v>
      </c>
      <c r="K131" t="s">
        <v>1</v>
      </c>
      <c r="L131" t="s">
        <v>1</v>
      </c>
      <c r="M131" t="s">
        <v>1</v>
      </c>
      <c r="N131" t="s">
        <v>1</v>
      </c>
      <c r="O131" t="s">
        <v>1</v>
      </c>
      <c r="P131" t="s">
        <v>1</v>
      </c>
      <c r="Q131" t="s">
        <v>1</v>
      </c>
      <c r="R131" t="s">
        <v>1</v>
      </c>
      <c r="S131" t="s">
        <v>1</v>
      </c>
      <c r="T131" t="s">
        <v>1</v>
      </c>
      <c r="U131" t="s">
        <v>1</v>
      </c>
      <c r="V131" t="s">
        <v>1</v>
      </c>
      <c r="W131" t="s">
        <v>1</v>
      </c>
      <c r="X131" t="s">
        <v>1</v>
      </c>
      <c r="Y131" t="s">
        <v>1</v>
      </c>
      <c r="Z131" t="s">
        <v>1</v>
      </c>
      <c r="AA131" t="s">
        <v>1</v>
      </c>
      <c r="AB131" t="s">
        <v>1</v>
      </c>
      <c r="AC131" t="s">
        <v>1</v>
      </c>
      <c r="AD131" t="s">
        <v>1</v>
      </c>
      <c r="AE131" t="s">
        <v>1</v>
      </c>
      <c r="AF131" t="s">
        <v>1</v>
      </c>
      <c r="AG131" t="s">
        <v>1</v>
      </c>
      <c r="AH131" t="s">
        <v>1</v>
      </c>
      <c r="AI131" t="s">
        <v>1</v>
      </c>
      <c r="AJ131" t="s">
        <v>1</v>
      </c>
      <c r="AK131" t="s">
        <v>1</v>
      </c>
      <c r="AL131" t="s">
        <v>1</v>
      </c>
      <c r="AM131" t="s">
        <v>1</v>
      </c>
      <c r="AN131">
        <v>130</v>
      </c>
      <c r="AO131">
        <f t="shared" ref="AO131:AO188" si="12">AN131</f>
        <v>130</v>
      </c>
      <c r="AP131">
        <f t="shared" si="10"/>
        <v>20</v>
      </c>
      <c r="AQ131">
        <f t="shared" si="11"/>
        <v>20</v>
      </c>
      <c r="AR131" s="26" t="s">
        <v>1355</v>
      </c>
      <c r="AS131" s="26" t="s">
        <v>1356</v>
      </c>
      <c r="AT131" t="s">
        <v>713</v>
      </c>
      <c r="AU131" t="s">
        <v>1</v>
      </c>
      <c r="AV131" t="s">
        <v>1</v>
      </c>
      <c r="AW131">
        <v>42.2</v>
      </c>
      <c r="AX131">
        <v>-93.6</v>
      </c>
      <c r="AY131" t="s">
        <v>737</v>
      </c>
      <c r="BA131" s="3">
        <v>3</v>
      </c>
      <c r="BB131" s="3"/>
      <c r="BC131" s="3"/>
      <c r="BD131" s="3"/>
      <c r="BE131" s="3"/>
      <c r="BF131">
        <v>1996</v>
      </c>
      <c r="BG131" s="24" t="s">
        <v>733</v>
      </c>
      <c r="BH131" s="24" t="s">
        <v>733</v>
      </c>
      <c r="BI131" s="24" t="s">
        <v>733</v>
      </c>
      <c r="BJ131" s="24" t="s">
        <v>732</v>
      </c>
      <c r="BK131" s="24" t="s">
        <v>733</v>
      </c>
      <c r="BL131" s="25" t="s">
        <v>733</v>
      </c>
      <c r="BM131" s="24" t="s">
        <v>733</v>
      </c>
      <c r="BN131" s="24" t="s">
        <v>732</v>
      </c>
      <c r="BO131" s="24" t="s">
        <v>733</v>
      </c>
      <c r="BP131" s="24" t="s">
        <v>733</v>
      </c>
      <c r="BQ131" s="24" t="s">
        <v>945</v>
      </c>
      <c r="BR131" s="24" t="s">
        <v>945</v>
      </c>
      <c r="BS131" s="25" t="s">
        <v>934</v>
      </c>
      <c r="BT131" s="24" t="s">
        <v>934</v>
      </c>
      <c r="BU131" s="24" t="s">
        <v>934</v>
      </c>
      <c r="BV131" s="24" t="s">
        <v>934</v>
      </c>
      <c r="BW131" s="24" t="s">
        <v>934</v>
      </c>
      <c r="BX131" s="24" t="s">
        <v>934</v>
      </c>
      <c r="BY131" s="25" t="s">
        <v>945</v>
      </c>
      <c r="BZ131" t="s">
        <v>5</v>
      </c>
      <c r="CB131" t="s">
        <v>1</v>
      </c>
      <c r="CC131" s="4">
        <f>9.8249*84.5%*1000</f>
        <v>8302.0404999999992</v>
      </c>
      <c r="CD131" s="4"/>
      <c r="CE131" s="4"/>
      <c r="CF131" t="s">
        <v>793</v>
      </c>
      <c r="CG131">
        <v>100</v>
      </c>
      <c r="CH131" t="s">
        <v>805</v>
      </c>
      <c r="CI131" s="1">
        <v>1.6</v>
      </c>
      <c r="CJ131" s="10" t="s">
        <v>1442</v>
      </c>
      <c r="CK131" s="9" t="s">
        <v>1</v>
      </c>
      <c r="CL131" s="4" t="s">
        <v>1</v>
      </c>
      <c r="CM131" t="s">
        <v>848</v>
      </c>
      <c r="CN131" s="4">
        <f>93</f>
        <v>93</v>
      </c>
      <c r="CO131" s="4"/>
      <c r="CP131" s="4" t="s">
        <v>1</v>
      </c>
      <c r="CQ131" s="4" t="s">
        <v>1</v>
      </c>
      <c r="CR131" s="4" t="s">
        <v>1</v>
      </c>
      <c r="CS131" s="4" t="s">
        <v>1</v>
      </c>
      <c r="CT131" s="4" t="s">
        <v>1</v>
      </c>
      <c r="CU131" s="4" t="s">
        <v>1</v>
      </c>
      <c r="CV131" t="s">
        <v>1</v>
      </c>
      <c r="CW131" t="s">
        <v>1</v>
      </c>
      <c r="CX131" t="s">
        <v>1</v>
      </c>
      <c r="CY131" t="s">
        <v>1</v>
      </c>
      <c r="CZ131" t="s">
        <v>1</v>
      </c>
      <c r="DA131" t="s">
        <v>734</v>
      </c>
      <c r="DB131">
        <v>21.5</v>
      </c>
      <c r="DC131">
        <v>0</v>
      </c>
      <c r="DD131">
        <v>30</v>
      </c>
      <c r="DE131" s="26" t="s">
        <v>1358</v>
      </c>
      <c r="DF131" t="s">
        <v>735</v>
      </c>
      <c r="DG131">
        <v>33</v>
      </c>
      <c r="DH131">
        <v>0</v>
      </c>
      <c r="DI131">
        <v>30</v>
      </c>
      <c r="DJ131" s="26" t="s">
        <v>1358</v>
      </c>
      <c r="DK131" t="s">
        <v>736</v>
      </c>
      <c r="DL131">
        <v>45.5</v>
      </c>
      <c r="DM131">
        <v>0</v>
      </c>
      <c r="DN131">
        <v>30</v>
      </c>
      <c r="DO131" s="26" t="s">
        <v>1358</v>
      </c>
      <c r="DP131" t="s">
        <v>1</v>
      </c>
      <c r="DQ131" t="s">
        <v>1</v>
      </c>
      <c r="DR131" t="s">
        <v>1</v>
      </c>
      <c r="DS131" t="s">
        <v>1</v>
      </c>
      <c r="DT131" t="s">
        <v>1</v>
      </c>
      <c r="DU131" t="s">
        <v>1</v>
      </c>
      <c r="EA131" t="s">
        <v>982</v>
      </c>
      <c r="EB131">
        <v>28</v>
      </c>
      <c r="EC131">
        <v>0</v>
      </c>
      <c r="ED131">
        <v>30</v>
      </c>
      <c r="EE131" s="26" t="s">
        <v>1358</v>
      </c>
      <c r="EF131" s="26"/>
      <c r="FZ131" t="s">
        <v>806</v>
      </c>
      <c r="GA131">
        <v>1019</v>
      </c>
      <c r="GE131" s="26" t="s">
        <v>1358</v>
      </c>
      <c r="HA131" s="5" t="s">
        <v>1</v>
      </c>
      <c r="HB131" s="4" t="s">
        <v>1</v>
      </c>
      <c r="HC131" t="s">
        <v>1</v>
      </c>
      <c r="HD131" t="s">
        <v>1</v>
      </c>
      <c r="HE131" t="s">
        <v>1</v>
      </c>
      <c r="HF131" s="5" t="s">
        <v>1</v>
      </c>
      <c r="HG131" s="4" t="s">
        <v>1</v>
      </c>
      <c r="HH131" t="s">
        <v>1</v>
      </c>
      <c r="HI131" t="s">
        <v>1</v>
      </c>
      <c r="HJ131" t="s">
        <v>1</v>
      </c>
      <c r="HK131" t="s">
        <v>815</v>
      </c>
      <c r="HL131">
        <v>1.19</v>
      </c>
      <c r="HM131">
        <v>0</v>
      </c>
      <c r="HN131">
        <v>30</v>
      </c>
      <c r="HO131" t="s">
        <v>1</v>
      </c>
      <c r="HP131" s="26" t="s">
        <v>1358</v>
      </c>
      <c r="HZ131" t="s">
        <v>1295</v>
      </c>
      <c r="IA131">
        <v>202</v>
      </c>
      <c r="IB131" s="10" t="s">
        <v>823</v>
      </c>
      <c r="IC131" s="10"/>
      <c r="ID131" s="10"/>
      <c r="IE131" s="10" t="s">
        <v>1</v>
      </c>
      <c r="IF131" s="10" t="s">
        <v>1</v>
      </c>
      <c r="IG131" s="10"/>
      <c r="IH131" s="10"/>
      <c r="II131" s="10"/>
      <c r="IJ131" s="10"/>
      <c r="IK131" s="10"/>
      <c r="IL131" s="10"/>
      <c r="IM131" s="10"/>
      <c r="IN131" s="10"/>
      <c r="IO131" s="10"/>
      <c r="IP131" s="10"/>
      <c r="IQ131" s="10"/>
      <c r="IR131" s="10"/>
      <c r="IS131" t="s">
        <v>1</v>
      </c>
      <c r="IT131" t="s">
        <v>1</v>
      </c>
      <c r="IW131" t="s">
        <v>1</v>
      </c>
      <c r="IX131" t="s">
        <v>1</v>
      </c>
      <c r="IY131" t="s">
        <v>1</v>
      </c>
      <c r="IZ131" t="s">
        <v>1</v>
      </c>
      <c r="JA131" t="s">
        <v>1065</v>
      </c>
      <c r="JB131" s="4">
        <v>15</v>
      </c>
      <c r="JC131" t="s">
        <v>1</v>
      </c>
      <c r="JD131" s="4" t="s">
        <v>1</v>
      </c>
      <c r="JE131" t="s">
        <v>810</v>
      </c>
      <c r="JF131">
        <v>100</v>
      </c>
      <c r="JR131" t="s">
        <v>1066</v>
      </c>
      <c r="JS131">
        <v>270</v>
      </c>
      <c r="JU131" t="s">
        <v>1</v>
      </c>
      <c r="JW131" t="s">
        <v>1</v>
      </c>
      <c r="JX131">
        <v>0</v>
      </c>
      <c r="JY131">
        <v>122</v>
      </c>
      <c r="JZ131" t="s">
        <v>797</v>
      </c>
      <c r="KA131" t="s">
        <v>147</v>
      </c>
      <c r="KB131" t="s">
        <v>738</v>
      </c>
      <c r="KC131" t="s">
        <v>1</v>
      </c>
      <c r="KD131" t="s">
        <v>1</v>
      </c>
      <c r="KE131" t="s">
        <v>1</v>
      </c>
      <c r="KF131" t="s">
        <v>1</v>
      </c>
      <c r="KG131" t="s">
        <v>1</v>
      </c>
      <c r="KH131" t="s">
        <v>1</v>
      </c>
      <c r="KI131" t="s">
        <v>1</v>
      </c>
      <c r="KJ131" t="s">
        <v>1</v>
      </c>
      <c r="KK131" t="s">
        <v>1</v>
      </c>
    </row>
    <row r="132" spans="1:297" x14ac:dyDescent="0.2">
      <c r="A132">
        <v>131</v>
      </c>
      <c r="B132" t="s">
        <v>705</v>
      </c>
      <c r="C132" t="s">
        <v>150</v>
      </c>
      <c r="D132" t="s">
        <v>145</v>
      </c>
      <c r="E132">
        <v>20</v>
      </c>
      <c r="F132" t="s">
        <v>1314</v>
      </c>
      <c r="G132" t="s">
        <v>1</v>
      </c>
      <c r="H132" s="26" t="s">
        <v>1420</v>
      </c>
      <c r="I132" t="s">
        <v>1</v>
      </c>
      <c r="J132" t="s">
        <v>1</v>
      </c>
      <c r="K132" t="s">
        <v>1</v>
      </c>
      <c r="L132" t="s">
        <v>1</v>
      </c>
      <c r="M132" t="s">
        <v>1</v>
      </c>
      <c r="N132" t="s">
        <v>1</v>
      </c>
      <c r="O132" t="s">
        <v>1</v>
      </c>
      <c r="P132" t="s">
        <v>1</v>
      </c>
      <c r="Q132" t="s">
        <v>1</v>
      </c>
      <c r="R132" t="s">
        <v>1</v>
      </c>
      <c r="S132" t="s">
        <v>1</v>
      </c>
      <c r="T132" t="s">
        <v>1</v>
      </c>
      <c r="U132" t="s">
        <v>1</v>
      </c>
      <c r="V132" t="s">
        <v>1</v>
      </c>
      <c r="W132" t="s">
        <v>1</v>
      </c>
      <c r="X132" t="s">
        <v>1</v>
      </c>
      <c r="Y132" t="s">
        <v>1</v>
      </c>
      <c r="Z132" t="s">
        <v>1</v>
      </c>
      <c r="AA132" t="s">
        <v>1</v>
      </c>
      <c r="AB132" t="s">
        <v>1</v>
      </c>
      <c r="AC132" t="s">
        <v>1</v>
      </c>
      <c r="AD132" t="s">
        <v>1</v>
      </c>
      <c r="AE132" t="s">
        <v>1</v>
      </c>
      <c r="AF132" t="s">
        <v>1</v>
      </c>
      <c r="AG132" t="s">
        <v>1</v>
      </c>
      <c r="AH132" t="s">
        <v>1</v>
      </c>
      <c r="AI132" t="s">
        <v>1</v>
      </c>
      <c r="AJ132" t="s">
        <v>1</v>
      </c>
      <c r="AK132" t="s">
        <v>1</v>
      </c>
      <c r="AL132" t="s">
        <v>1</v>
      </c>
      <c r="AM132" t="s">
        <v>1</v>
      </c>
      <c r="AN132">
        <v>131</v>
      </c>
      <c r="AO132">
        <f t="shared" si="12"/>
        <v>131</v>
      </c>
      <c r="AP132">
        <f t="shared" si="10"/>
        <v>20</v>
      </c>
      <c r="AQ132">
        <f t="shared" si="11"/>
        <v>20</v>
      </c>
      <c r="AR132" s="26" t="s">
        <v>1355</v>
      </c>
      <c r="AS132" s="26" t="s">
        <v>1356</v>
      </c>
      <c r="AT132" t="s">
        <v>713</v>
      </c>
      <c r="AU132" t="s">
        <v>1</v>
      </c>
      <c r="AV132" t="s">
        <v>1</v>
      </c>
      <c r="AW132">
        <v>42.2</v>
      </c>
      <c r="AX132">
        <v>-93.6</v>
      </c>
      <c r="AY132" t="s">
        <v>737</v>
      </c>
      <c r="BA132" s="3">
        <v>3</v>
      </c>
      <c r="BB132" s="3"/>
      <c r="BC132" s="3"/>
      <c r="BD132" s="3"/>
      <c r="BE132" s="3"/>
      <c r="BF132">
        <v>1998</v>
      </c>
      <c r="BG132" s="24" t="s">
        <v>733</v>
      </c>
      <c r="BH132" s="24" t="s">
        <v>733</v>
      </c>
      <c r="BI132" s="24" t="s">
        <v>733</v>
      </c>
      <c r="BJ132" s="24" t="s">
        <v>732</v>
      </c>
      <c r="BK132" s="24" t="s">
        <v>733</v>
      </c>
      <c r="BL132" s="25" t="s">
        <v>733</v>
      </c>
      <c r="BM132" s="24" t="s">
        <v>733</v>
      </c>
      <c r="BN132" s="24" t="s">
        <v>732</v>
      </c>
      <c r="BO132" s="24" t="s">
        <v>733</v>
      </c>
      <c r="BP132" s="24" t="s">
        <v>733</v>
      </c>
      <c r="BQ132" s="24" t="s">
        <v>945</v>
      </c>
      <c r="BR132" s="24" t="s">
        <v>945</v>
      </c>
      <c r="BS132" s="25" t="s">
        <v>934</v>
      </c>
      <c r="BT132" s="24" t="s">
        <v>934</v>
      </c>
      <c r="BU132" s="24" t="s">
        <v>934</v>
      </c>
      <c r="BV132" s="24" t="s">
        <v>934</v>
      </c>
      <c r="BW132" s="24" t="s">
        <v>934</v>
      </c>
      <c r="BX132" s="24" t="s">
        <v>934</v>
      </c>
      <c r="BY132" s="25" t="s">
        <v>945</v>
      </c>
      <c r="BZ132" t="s">
        <v>5</v>
      </c>
      <c r="CB132" t="s">
        <v>1</v>
      </c>
      <c r="CC132" s="4">
        <f>7.9083*84.5%*1000</f>
        <v>6682.5135</v>
      </c>
      <c r="CD132" s="4"/>
      <c r="CE132" s="4"/>
      <c r="CF132" t="s">
        <v>793</v>
      </c>
      <c r="CG132">
        <v>100</v>
      </c>
      <c r="CH132" t="s">
        <v>805</v>
      </c>
      <c r="CI132" s="1">
        <v>1.6</v>
      </c>
      <c r="CJ132" s="10" t="s">
        <v>1442</v>
      </c>
      <c r="CK132" s="9" t="s">
        <v>1</v>
      </c>
      <c r="CL132" s="4" t="s">
        <v>1</v>
      </c>
      <c r="CM132" t="s">
        <v>848</v>
      </c>
      <c r="CN132" s="4">
        <f>69</f>
        <v>69</v>
      </c>
      <c r="CO132" s="4"/>
      <c r="CP132" s="4" t="s">
        <v>1</v>
      </c>
      <c r="CQ132" s="4" t="s">
        <v>1</v>
      </c>
      <c r="CR132" s="4" t="s">
        <v>1</v>
      </c>
      <c r="CS132" s="4" t="s">
        <v>1</v>
      </c>
      <c r="CT132" s="4" t="s">
        <v>1</v>
      </c>
      <c r="CU132" s="4" t="s">
        <v>1</v>
      </c>
      <c r="CV132" t="s">
        <v>1</v>
      </c>
      <c r="CW132" t="s">
        <v>1</v>
      </c>
      <c r="CX132" t="s">
        <v>1</v>
      </c>
      <c r="CY132" t="s">
        <v>1</v>
      </c>
      <c r="CZ132" t="s">
        <v>1</v>
      </c>
      <c r="DA132" t="s">
        <v>734</v>
      </c>
      <c r="DB132">
        <v>21.5</v>
      </c>
      <c r="DC132">
        <v>0</v>
      </c>
      <c r="DD132">
        <v>30</v>
      </c>
      <c r="DE132" s="26" t="s">
        <v>1358</v>
      </c>
      <c r="DF132" t="s">
        <v>735</v>
      </c>
      <c r="DG132">
        <v>33</v>
      </c>
      <c r="DH132">
        <v>0</v>
      </c>
      <c r="DI132">
        <v>30</v>
      </c>
      <c r="DJ132" s="26" t="s">
        <v>1358</v>
      </c>
      <c r="DK132" t="s">
        <v>736</v>
      </c>
      <c r="DL132">
        <v>45.5</v>
      </c>
      <c r="DM132">
        <v>0</v>
      </c>
      <c r="DN132">
        <v>30</v>
      </c>
      <c r="DO132" s="26" t="s">
        <v>1358</v>
      </c>
      <c r="DP132" t="s">
        <v>1</v>
      </c>
      <c r="DQ132" t="s">
        <v>1</v>
      </c>
      <c r="DR132" t="s">
        <v>1</v>
      </c>
      <c r="DS132" t="s">
        <v>1</v>
      </c>
      <c r="DT132" t="s">
        <v>1</v>
      </c>
      <c r="DU132" t="s">
        <v>1</v>
      </c>
      <c r="EA132" t="s">
        <v>982</v>
      </c>
      <c r="EB132">
        <v>28</v>
      </c>
      <c r="EC132">
        <v>0</v>
      </c>
      <c r="ED132">
        <v>30</v>
      </c>
      <c r="EE132" s="26" t="s">
        <v>1358</v>
      </c>
      <c r="EF132" s="26"/>
      <c r="FZ132" t="s">
        <v>806</v>
      </c>
      <c r="GA132">
        <v>896</v>
      </c>
      <c r="GE132" s="26" t="s">
        <v>1358</v>
      </c>
      <c r="HA132" s="5" t="s">
        <v>1</v>
      </c>
      <c r="HB132" s="4" t="s">
        <v>1</v>
      </c>
      <c r="HC132" t="s">
        <v>1</v>
      </c>
      <c r="HD132" t="s">
        <v>1</v>
      </c>
      <c r="HE132" t="s">
        <v>1</v>
      </c>
      <c r="HF132" s="5" t="s">
        <v>1</v>
      </c>
      <c r="HG132" s="4" t="s">
        <v>1</v>
      </c>
      <c r="HH132" t="s">
        <v>1</v>
      </c>
      <c r="HI132" t="s">
        <v>1</v>
      </c>
      <c r="HJ132" t="s">
        <v>1</v>
      </c>
      <c r="HK132" t="s">
        <v>815</v>
      </c>
      <c r="HL132">
        <v>1.19</v>
      </c>
      <c r="HM132">
        <v>0</v>
      </c>
      <c r="HN132">
        <v>30</v>
      </c>
      <c r="HO132" t="s">
        <v>1</v>
      </c>
      <c r="HP132" s="26" t="s">
        <v>1358</v>
      </c>
      <c r="HZ132" t="s">
        <v>1295</v>
      </c>
      <c r="IA132">
        <v>57</v>
      </c>
      <c r="IB132" s="10" t="s">
        <v>823</v>
      </c>
      <c r="IC132" s="10"/>
      <c r="ID132" s="10"/>
      <c r="IE132" s="10" t="s">
        <v>1</v>
      </c>
      <c r="IF132" s="10" t="s">
        <v>1</v>
      </c>
      <c r="IG132" s="10"/>
      <c r="IH132" s="10"/>
      <c r="II132" s="10"/>
      <c r="IJ132" s="10"/>
      <c r="IK132" s="10"/>
      <c r="IL132" s="10"/>
      <c r="IM132" s="10"/>
      <c r="IN132" s="10"/>
      <c r="IO132" s="10"/>
      <c r="IP132" s="10"/>
      <c r="IQ132" s="10"/>
      <c r="IR132" s="10"/>
      <c r="IS132" t="s">
        <v>1</v>
      </c>
      <c r="IT132" t="s">
        <v>1</v>
      </c>
      <c r="IW132" t="s">
        <v>1</v>
      </c>
      <c r="IX132" t="s">
        <v>1</v>
      </c>
      <c r="IY132" t="s">
        <v>1</v>
      </c>
      <c r="IZ132" t="s">
        <v>1</v>
      </c>
      <c r="JA132" t="s">
        <v>1065</v>
      </c>
      <c r="JB132" s="4">
        <v>13</v>
      </c>
      <c r="JC132" t="s">
        <v>1</v>
      </c>
      <c r="JD132" s="4" t="s">
        <v>1</v>
      </c>
      <c r="JE132" t="s">
        <v>810</v>
      </c>
      <c r="JF132">
        <v>100</v>
      </c>
      <c r="JR132" t="s">
        <v>1066</v>
      </c>
      <c r="JS132">
        <v>168.2</v>
      </c>
      <c r="JU132" t="s">
        <v>1</v>
      </c>
      <c r="JW132" t="s">
        <v>1</v>
      </c>
      <c r="JX132">
        <v>0</v>
      </c>
      <c r="JY132">
        <v>122</v>
      </c>
      <c r="JZ132" t="s">
        <v>797</v>
      </c>
      <c r="KA132" t="s">
        <v>147</v>
      </c>
      <c r="KB132" t="s">
        <v>738</v>
      </c>
      <c r="KC132" t="s">
        <v>1</v>
      </c>
      <c r="KD132" t="s">
        <v>1</v>
      </c>
      <c r="KE132" t="s">
        <v>1</v>
      </c>
      <c r="KF132" t="s">
        <v>1</v>
      </c>
      <c r="KG132" t="s">
        <v>1</v>
      </c>
      <c r="KH132" t="s">
        <v>1</v>
      </c>
      <c r="KI132" t="s">
        <v>1</v>
      </c>
      <c r="KJ132" t="s">
        <v>1</v>
      </c>
      <c r="KK132" t="s">
        <v>1</v>
      </c>
    </row>
    <row r="133" spans="1:297" x14ac:dyDescent="0.2">
      <c r="A133">
        <v>132</v>
      </c>
      <c r="B133" t="s">
        <v>705</v>
      </c>
      <c r="C133" t="s">
        <v>151</v>
      </c>
      <c r="D133" t="s">
        <v>145</v>
      </c>
      <c r="E133">
        <v>20</v>
      </c>
      <c r="F133" t="s">
        <v>1314</v>
      </c>
      <c r="G133" t="s">
        <v>1</v>
      </c>
      <c r="H133" s="26" t="s">
        <v>1420</v>
      </c>
      <c r="I133" t="s">
        <v>1</v>
      </c>
      <c r="J133" t="s">
        <v>1</v>
      </c>
      <c r="K133" t="s">
        <v>1</v>
      </c>
      <c r="L133" t="s">
        <v>1</v>
      </c>
      <c r="M133" t="s">
        <v>1</v>
      </c>
      <c r="N133" t="s">
        <v>1</v>
      </c>
      <c r="O133" t="s">
        <v>1</v>
      </c>
      <c r="P133" t="s">
        <v>1</v>
      </c>
      <c r="Q133" t="s">
        <v>1</v>
      </c>
      <c r="R133" t="s">
        <v>1</v>
      </c>
      <c r="S133" t="s">
        <v>1</v>
      </c>
      <c r="T133" t="s">
        <v>1</v>
      </c>
      <c r="U133" t="s">
        <v>1</v>
      </c>
      <c r="V133" t="s">
        <v>1</v>
      </c>
      <c r="W133" t="s">
        <v>1</v>
      </c>
      <c r="X133" t="s">
        <v>1</v>
      </c>
      <c r="Y133" t="s">
        <v>1</v>
      </c>
      <c r="Z133" t="s">
        <v>1</v>
      </c>
      <c r="AA133" t="s">
        <v>1</v>
      </c>
      <c r="AB133" t="s">
        <v>1</v>
      </c>
      <c r="AC133" t="s">
        <v>1</v>
      </c>
      <c r="AD133" t="s">
        <v>1</v>
      </c>
      <c r="AE133" t="s">
        <v>1</v>
      </c>
      <c r="AF133" t="s">
        <v>1</v>
      </c>
      <c r="AG133" t="s">
        <v>1</v>
      </c>
      <c r="AH133" t="s">
        <v>1</v>
      </c>
      <c r="AI133" t="s">
        <v>1</v>
      </c>
      <c r="AJ133" t="s">
        <v>1</v>
      </c>
      <c r="AK133" t="s">
        <v>1</v>
      </c>
      <c r="AL133" t="s">
        <v>1</v>
      </c>
      <c r="AM133" t="s">
        <v>1</v>
      </c>
      <c r="AN133">
        <v>132</v>
      </c>
      <c r="AO133">
        <f t="shared" si="12"/>
        <v>132</v>
      </c>
      <c r="AP133">
        <f t="shared" si="10"/>
        <v>20</v>
      </c>
      <c r="AQ133">
        <f t="shared" si="11"/>
        <v>20</v>
      </c>
      <c r="AR133" s="26" t="s">
        <v>1355</v>
      </c>
      <c r="AS133" s="26" t="s">
        <v>1356</v>
      </c>
      <c r="AT133" t="s">
        <v>713</v>
      </c>
      <c r="AU133" t="s">
        <v>1</v>
      </c>
      <c r="AV133" t="s">
        <v>1</v>
      </c>
      <c r="AW133">
        <v>42.2</v>
      </c>
      <c r="AX133">
        <v>-93.6</v>
      </c>
      <c r="AY133" t="s">
        <v>737</v>
      </c>
      <c r="BA133" s="3">
        <v>3</v>
      </c>
      <c r="BB133" s="3"/>
      <c r="BC133" s="3"/>
      <c r="BD133" s="3"/>
      <c r="BE133" s="3"/>
      <c r="BF133">
        <v>1998</v>
      </c>
      <c r="BG133" s="24" t="s">
        <v>733</v>
      </c>
      <c r="BH133" s="24" t="s">
        <v>733</v>
      </c>
      <c r="BI133" s="24" t="s">
        <v>733</v>
      </c>
      <c r="BJ133" s="24" t="s">
        <v>732</v>
      </c>
      <c r="BK133" s="24" t="s">
        <v>733</v>
      </c>
      <c r="BL133" s="25" t="s">
        <v>733</v>
      </c>
      <c r="BM133" s="24" t="s">
        <v>733</v>
      </c>
      <c r="BN133" s="24" t="s">
        <v>732</v>
      </c>
      <c r="BO133" s="24" t="s">
        <v>733</v>
      </c>
      <c r="BP133" s="24" t="s">
        <v>733</v>
      </c>
      <c r="BQ133" s="24" t="s">
        <v>945</v>
      </c>
      <c r="BR133" s="24" t="s">
        <v>945</v>
      </c>
      <c r="BS133" s="25" t="s">
        <v>934</v>
      </c>
      <c r="BT133" s="24" t="s">
        <v>934</v>
      </c>
      <c r="BU133" s="24" t="s">
        <v>934</v>
      </c>
      <c r="BV133" s="24" t="s">
        <v>934</v>
      </c>
      <c r="BW133" s="24" t="s">
        <v>934</v>
      </c>
      <c r="BX133" s="24" t="s">
        <v>934</v>
      </c>
      <c r="BY133" s="25" t="s">
        <v>945</v>
      </c>
      <c r="BZ133" t="s">
        <v>5</v>
      </c>
      <c r="CB133" t="s">
        <v>1</v>
      </c>
      <c r="CC133" s="4">
        <f>10.1324*84.5%*1000</f>
        <v>8561.8780000000006</v>
      </c>
      <c r="CD133" s="4"/>
      <c r="CE133" s="4"/>
      <c r="CF133" t="s">
        <v>793</v>
      </c>
      <c r="CG133">
        <v>100</v>
      </c>
      <c r="CH133" t="s">
        <v>805</v>
      </c>
      <c r="CI133" s="1">
        <v>1.6</v>
      </c>
      <c r="CJ133" s="10" t="s">
        <v>1442</v>
      </c>
      <c r="CK133" s="9" t="s">
        <v>1</v>
      </c>
      <c r="CL133" s="4" t="s">
        <v>1</v>
      </c>
      <c r="CM133" t="s">
        <v>848</v>
      </c>
      <c r="CN133" s="4">
        <f>96</f>
        <v>96</v>
      </c>
      <c r="CO133" s="4"/>
      <c r="CP133" s="4" t="s">
        <v>1</v>
      </c>
      <c r="CQ133" s="4" t="s">
        <v>1</v>
      </c>
      <c r="CR133" s="4" t="s">
        <v>1</v>
      </c>
      <c r="CS133" s="4" t="s">
        <v>1</v>
      </c>
      <c r="CT133" s="4" t="s">
        <v>1</v>
      </c>
      <c r="CU133" s="4" t="s">
        <v>1</v>
      </c>
      <c r="CV133" t="s">
        <v>1</v>
      </c>
      <c r="CW133" t="s">
        <v>1</v>
      </c>
      <c r="CX133" t="s">
        <v>1</v>
      </c>
      <c r="CY133" t="s">
        <v>1</v>
      </c>
      <c r="CZ133" t="s">
        <v>1</v>
      </c>
      <c r="DA133" t="s">
        <v>734</v>
      </c>
      <c r="DB133">
        <v>21.5</v>
      </c>
      <c r="DC133">
        <v>0</v>
      </c>
      <c r="DD133">
        <v>30</v>
      </c>
      <c r="DE133" s="26" t="s">
        <v>1358</v>
      </c>
      <c r="DF133" t="s">
        <v>735</v>
      </c>
      <c r="DG133">
        <v>33</v>
      </c>
      <c r="DH133">
        <v>0</v>
      </c>
      <c r="DI133">
        <v>30</v>
      </c>
      <c r="DJ133" s="26" t="s">
        <v>1358</v>
      </c>
      <c r="DK133" t="s">
        <v>736</v>
      </c>
      <c r="DL133">
        <v>45.5</v>
      </c>
      <c r="DM133">
        <v>0</v>
      </c>
      <c r="DN133">
        <v>30</v>
      </c>
      <c r="DO133" s="26" t="s">
        <v>1358</v>
      </c>
      <c r="DP133" t="s">
        <v>1</v>
      </c>
      <c r="DQ133" t="s">
        <v>1</v>
      </c>
      <c r="DR133" t="s">
        <v>1</v>
      </c>
      <c r="DS133" t="s">
        <v>1</v>
      </c>
      <c r="DT133" t="s">
        <v>1</v>
      </c>
      <c r="DU133" t="s">
        <v>1</v>
      </c>
      <c r="EA133" t="s">
        <v>982</v>
      </c>
      <c r="EB133">
        <v>28</v>
      </c>
      <c r="EC133">
        <v>0</v>
      </c>
      <c r="ED133">
        <v>30</v>
      </c>
      <c r="EE133" s="26" t="s">
        <v>1358</v>
      </c>
      <c r="EF133" s="26"/>
      <c r="FZ133" t="s">
        <v>806</v>
      </c>
      <c r="GA133">
        <v>896</v>
      </c>
      <c r="GE133" s="26" t="s">
        <v>1358</v>
      </c>
      <c r="HA133" s="5" t="s">
        <v>1</v>
      </c>
      <c r="HB133" s="4" t="s">
        <v>1</v>
      </c>
      <c r="HC133" t="s">
        <v>1</v>
      </c>
      <c r="HD133" t="s">
        <v>1</v>
      </c>
      <c r="HE133" t="s">
        <v>1</v>
      </c>
      <c r="HF133" s="5" t="s">
        <v>1</v>
      </c>
      <c r="HG133" s="4" t="s">
        <v>1</v>
      </c>
      <c r="HH133" t="s">
        <v>1</v>
      </c>
      <c r="HI133" t="s">
        <v>1</v>
      </c>
      <c r="HJ133" t="s">
        <v>1</v>
      </c>
      <c r="HK133" t="s">
        <v>815</v>
      </c>
      <c r="HL133">
        <v>1.19</v>
      </c>
      <c r="HM133">
        <v>0</v>
      </c>
      <c r="HN133">
        <v>30</v>
      </c>
      <c r="HO133" t="s">
        <v>1</v>
      </c>
      <c r="HP133" s="26" t="s">
        <v>1358</v>
      </c>
      <c r="HZ133" t="s">
        <v>1295</v>
      </c>
      <c r="IA133">
        <v>114</v>
      </c>
      <c r="IB133" s="10" t="s">
        <v>823</v>
      </c>
      <c r="IC133" s="10"/>
      <c r="ID133" s="10"/>
      <c r="IE133" s="10" t="s">
        <v>1</v>
      </c>
      <c r="IF133" s="10" t="s">
        <v>1</v>
      </c>
      <c r="IG133" s="10"/>
      <c r="IH133" s="10"/>
      <c r="II133" s="10"/>
      <c r="IJ133" s="10"/>
      <c r="IK133" s="10"/>
      <c r="IL133" s="10"/>
      <c r="IM133" s="10"/>
      <c r="IN133" s="10"/>
      <c r="IO133" s="10"/>
      <c r="IP133" s="10"/>
      <c r="IQ133" s="10"/>
      <c r="IR133" s="10"/>
      <c r="IS133" t="s">
        <v>1</v>
      </c>
      <c r="IT133" t="s">
        <v>1</v>
      </c>
      <c r="IW133" t="s">
        <v>1</v>
      </c>
      <c r="IX133" t="s">
        <v>1</v>
      </c>
      <c r="IY133" t="s">
        <v>1</v>
      </c>
      <c r="IZ133" t="s">
        <v>1</v>
      </c>
      <c r="JA133" t="s">
        <v>1065</v>
      </c>
      <c r="JB133" s="4">
        <v>13</v>
      </c>
      <c r="JC133" t="s">
        <v>1</v>
      </c>
      <c r="JD133" s="4" t="s">
        <v>1</v>
      </c>
      <c r="JE133" t="s">
        <v>810</v>
      </c>
      <c r="JF133">
        <v>100</v>
      </c>
      <c r="JR133" t="s">
        <v>1066</v>
      </c>
      <c r="JS133">
        <v>190.3</v>
      </c>
      <c r="JU133" t="s">
        <v>1</v>
      </c>
      <c r="JW133" t="s">
        <v>1</v>
      </c>
      <c r="JX133">
        <v>0</v>
      </c>
      <c r="JY133">
        <v>122</v>
      </c>
      <c r="JZ133" t="s">
        <v>797</v>
      </c>
      <c r="KA133" t="s">
        <v>147</v>
      </c>
      <c r="KB133" t="s">
        <v>738</v>
      </c>
      <c r="KC133" t="s">
        <v>1</v>
      </c>
      <c r="KD133" t="s">
        <v>1</v>
      </c>
      <c r="KE133" t="s">
        <v>1</v>
      </c>
      <c r="KF133" t="s">
        <v>1</v>
      </c>
      <c r="KG133" t="s">
        <v>1</v>
      </c>
      <c r="KH133" t="s">
        <v>1</v>
      </c>
      <c r="KI133" t="s">
        <v>1</v>
      </c>
      <c r="KJ133" t="s">
        <v>1</v>
      </c>
      <c r="KK133" t="s">
        <v>1</v>
      </c>
    </row>
    <row r="134" spans="1:297" x14ac:dyDescent="0.2">
      <c r="A134">
        <v>133</v>
      </c>
      <c r="B134" t="s">
        <v>705</v>
      </c>
      <c r="C134" t="s">
        <v>152</v>
      </c>
      <c r="D134" t="s">
        <v>145</v>
      </c>
      <c r="E134">
        <v>20</v>
      </c>
      <c r="F134" t="s">
        <v>1314</v>
      </c>
      <c r="G134" t="s">
        <v>1</v>
      </c>
      <c r="H134" s="26" t="s">
        <v>1420</v>
      </c>
      <c r="I134" t="s">
        <v>1</v>
      </c>
      <c r="J134" t="s">
        <v>1</v>
      </c>
      <c r="K134" t="s">
        <v>1</v>
      </c>
      <c r="L134" t="s">
        <v>1</v>
      </c>
      <c r="M134" t="s">
        <v>1</v>
      </c>
      <c r="N134" t="s">
        <v>1</v>
      </c>
      <c r="O134" t="s">
        <v>1</v>
      </c>
      <c r="P134" t="s">
        <v>1</v>
      </c>
      <c r="Q134" t="s">
        <v>1</v>
      </c>
      <c r="R134" t="s">
        <v>1</v>
      </c>
      <c r="S134" t="s">
        <v>1</v>
      </c>
      <c r="T134" t="s">
        <v>1</v>
      </c>
      <c r="U134" t="s">
        <v>1</v>
      </c>
      <c r="V134" t="s">
        <v>1</v>
      </c>
      <c r="W134" t="s">
        <v>1</v>
      </c>
      <c r="X134" t="s">
        <v>1</v>
      </c>
      <c r="Y134" t="s">
        <v>1</v>
      </c>
      <c r="Z134" t="s">
        <v>1</v>
      </c>
      <c r="AA134" t="s">
        <v>1</v>
      </c>
      <c r="AB134" t="s">
        <v>1</v>
      </c>
      <c r="AC134" t="s">
        <v>1</v>
      </c>
      <c r="AD134" t="s">
        <v>1</v>
      </c>
      <c r="AE134" t="s">
        <v>1</v>
      </c>
      <c r="AF134" t="s">
        <v>1</v>
      </c>
      <c r="AG134" t="s">
        <v>1</v>
      </c>
      <c r="AH134" t="s">
        <v>1</v>
      </c>
      <c r="AI134" t="s">
        <v>1</v>
      </c>
      <c r="AJ134" t="s">
        <v>1</v>
      </c>
      <c r="AK134" t="s">
        <v>1</v>
      </c>
      <c r="AL134" t="s">
        <v>1</v>
      </c>
      <c r="AM134" t="s">
        <v>1</v>
      </c>
      <c r="AN134">
        <v>133</v>
      </c>
      <c r="AO134">
        <f t="shared" si="12"/>
        <v>133</v>
      </c>
      <c r="AP134">
        <f t="shared" si="10"/>
        <v>20</v>
      </c>
      <c r="AQ134">
        <f t="shared" si="11"/>
        <v>20</v>
      </c>
      <c r="AR134" s="26" t="s">
        <v>1355</v>
      </c>
      <c r="AS134" s="26" t="s">
        <v>1356</v>
      </c>
      <c r="AT134" t="s">
        <v>713</v>
      </c>
      <c r="AU134" t="s">
        <v>1</v>
      </c>
      <c r="AV134" t="s">
        <v>1</v>
      </c>
      <c r="AW134">
        <v>42.2</v>
      </c>
      <c r="AX134">
        <v>-93.6</v>
      </c>
      <c r="AY134" t="s">
        <v>737</v>
      </c>
      <c r="BA134" s="3">
        <v>3</v>
      </c>
      <c r="BB134" s="3"/>
      <c r="BC134" s="3"/>
      <c r="BD134" s="3"/>
      <c r="BE134" s="3"/>
      <c r="BF134">
        <v>1998</v>
      </c>
      <c r="BG134" s="24" t="s">
        <v>733</v>
      </c>
      <c r="BH134" s="24" t="s">
        <v>733</v>
      </c>
      <c r="BI134" s="24" t="s">
        <v>733</v>
      </c>
      <c r="BJ134" s="24" t="s">
        <v>732</v>
      </c>
      <c r="BK134" s="24" t="s">
        <v>733</v>
      </c>
      <c r="BL134" s="25" t="s">
        <v>733</v>
      </c>
      <c r="BM134" s="24" t="s">
        <v>733</v>
      </c>
      <c r="BN134" s="24" t="s">
        <v>732</v>
      </c>
      <c r="BO134" s="24" t="s">
        <v>733</v>
      </c>
      <c r="BP134" s="24" t="s">
        <v>733</v>
      </c>
      <c r="BQ134" s="24" t="s">
        <v>945</v>
      </c>
      <c r="BR134" s="24" t="s">
        <v>945</v>
      </c>
      <c r="BS134" s="25" t="s">
        <v>934</v>
      </c>
      <c r="BT134" s="24" t="s">
        <v>934</v>
      </c>
      <c r="BU134" s="24" t="s">
        <v>934</v>
      </c>
      <c r="BV134" s="24" t="s">
        <v>934</v>
      </c>
      <c r="BW134" s="24" t="s">
        <v>934</v>
      </c>
      <c r="BX134" s="24" t="s">
        <v>934</v>
      </c>
      <c r="BY134" s="25" t="s">
        <v>945</v>
      </c>
      <c r="BZ134" t="s">
        <v>5</v>
      </c>
      <c r="CB134" t="s">
        <v>1</v>
      </c>
      <c r="CC134" s="4">
        <f>10.7941*84.5%*1000</f>
        <v>9121.0144999999993</v>
      </c>
      <c r="CD134" s="4"/>
      <c r="CE134" s="4"/>
      <c r="CF134" t="s">
        <v>793</v>
      </c>
      <c r="CG134">
        <v>100</v>
      </c>
      <c r="CH134" t="s">
        <v>805</v>
      </c>
      <c r="CI134" s="1">
        <v>1.6</v>
      </c>
      <c r="CJ134" s="10" t="s">
        <v>1442</v>
      </c>
      <c r="CK134" s="9" t="s">
        <v>1</v>
      </c>
      <c r="CL134" s="4" t="s">
        <v>1</v>
      </c>
      <c r="CM134" t="s">
        <v>848</v>
      </c>
      <c r="CN134" s="4">
        <f>108</f>
        <v>108</v>
      </c>
      <c r="CO134" s="4"/>
      <c r="CP134" s="4" t="s">
        <v>1</v>
      </c>
      <c r="CQ134" s="4" t="s">
        <v>1</v>
      </c>
      <c r="CR134" s="4" t="s">
        <v>1</v>
      </c>
      <c r="CS134" s="4" t="s">
        <v>1</v>
      </c>
      <c r="CT134" s="4" t="s">
        <v>1</v>
      </c>
      <c r="CU134" s="4" t="s">
        <v>1</v>
      </c>
      <c r="CV134" t="s">
        <v>1</v>
      </c>
      <c r="CW134" t="s">
        <v>1</v>
      </c>
      <c r="CX134" t="s">
        <v>1</v>
      </c>
      <c r="CY134" t="s">
        <v>1</v>
      </c>
      <c r="CZ134" t="s">
        <v>1</v>
      </c>
      <c r="DA134" t="s">
        <v>734</v>
      </c>
      <c r="DB134">
        <v>21.5</v>
      </c>
      <c r="DC134">
        <v>0</v>
      </c>
      <c r="DD134">
        <v>30</v>
      </c>
      <c r="DE134" s="26" t="s">
        <v>1358</v>
      </c>
      <c r="DF134" t="s">
        <v>735</v>
      </c>
      <c r="DG134">
        <v>33</v>
      </c>
      <c r="DH134">
        <v>0</v>
      </c>
      <c r="DI134">
        <v>30</v>
      </c>
      <c r="DJ134" s="26" t="s">
        <v>1358</v>
      </c>
      <c r="DK134" t="s">
        <v>736</v>
      </c>
      <c r="DL134">
        <v>45.5</v>
      </c>
      <c r="DM134">
        <v>0</v>
      </c>
      <c r="DN134">
        <v>30</v>
      </c>
      <c r="DO134" s="26" t="s">
        <v>1358</v>
      </c>
      <c r="DP134" t="s">
        <v>1</v>
      </c>
      <c r="DQ134" t="s">
        <v>1</v>
      </c>
      <c r="DR134" t="s">
        <v>1</v>
      </c>
      <c r="DS134" t="s">
        <v>1</v>
      </c>
      <c r="DT134" t="s">
        <v>1</v>
      </c>
      <c r="DU134" t="s">
        <v>1</v>
      </c>
      <c r="EA134" t="s">
        <v>982</v>
      </c>
      <c r="EB134">
        <v>28</v>
      </c>
      <c r="EC134">
        <v>0</v>
      </c>
      <c r="ED134">
        <v>30</v>
      </c>
      <c r="EE134" s="26" t="s">
        <v>1358</v>
      </c>
      <c r="EF134" s="26"/>
      <c r="FZ134" t="s">
        <v>806</v>
      </c>
      <c r="GA134">
        <v>896</v>
      </c>
      <c r="GE134" s="26" t="s">
        <v>1358</v>
      </c>
      <c r="HA134" s="5" t="s">
        <v>1</v>
      </c>
      <c r="HB134" s="4" t="s">
        <v>1</v>
      </c>
      <c r="HC134" t="s">
        <v>1</v>
      </c>
      <c r="HD134" t="s">
        <v>1</v>
      </c>
      <c r="HE134" t="s">
        <v>1</v>
      </c>
      <c r="HF134" s="5" t="s">
        <v>1</v>
      </c>
      <c r="HG134" s="4" t="s">
        <v>1</v>
      </c>
      <c r="HH134" t="s">
        <v>1</v>
      </c>
      <c r="HI134" t="s">
        <v>1</v>
      </c>
      <c r="HJ134" t="s">
        <v>1</v>
      </c>
      <c r="HK134" t="s">
        <v>815</v>
      </c>
      <c r="HL134">
        <v>1.19</v>
      </c>
      <c r="HM134">
        <v>0</v>
      </c>
      <c r="HN134">
        <v>30</v>
      </c>
      <c r="HO134" t="s">
        <v>1</v>
      </c>
      <c r="HP134" s="26" t="s">
        <v>1358</v>
      </c>
      <c r="HZ134" t="s">
        <v>1295</v>
      </c>
      <c r="IA134">
        <v>172</v>
      </c>
      <c r="IB134" s="10" t="s">
        <v>823</v>
      </c>
      <c r="IC134" s="10"/>
      <c r="ID134" s="10"/>
      <c r="IE134" s="10" t="s">
        <v>1</v>
      </c>
      <c r="IF134" s="10" t="s">
        <v>1</v>
      </c>
      <c r="IG134" s="10"/>
      <c r="IH134" s="10"/>
      <c r="II134" s="10"/>
      <c r="IJ134" s="10"/>
      <c r="IK134" s="10"/>
      <c r="IL134" s="10"/>
      <c r="IM134" s="10"/>
      <c r="IN134" s="10"/>
      <c r="IO134" s="10"/>
      <c r="IP134" s="10"/>
      <c r="IQ134" s="10"/>
      <c r="IR134" s="10"/>
      <c r="IS134" t="s">
        <v>1</v>
      </c>
      <c r="IT134" t="s">
        <v>1</v>
      </c>
      <c r="IW134" t="s">
        <v>1</v>
      </c>
      <c r="IX134" t="s">
        <v>1</v>
      </c>
      <c r="IY134" t="s">
        <v>1</v>
      </c>
      <c r="IZ134" t="s">
        <v>1</v>
      </c>
      <c r="JA134" t="s">
        <v>1065</v>
      </c>
      <c r="JB134" s="4">
        <v>13</v>
      </c>
      <c r="JC134" t="s">
        <v>1</v>
      </c>
      <c r="JD134" s="4" t="s">
        <v>1</v>
      </c>
      <c r="JE134" t="s">
        <v>810</v>
      </c>
      <c r="JF134">
        <v>100</v>
      </c>
      <c r="JR134" t="s">
        <v>1066</v>
      </c>
      <c r="JS134">
        <v>261.2</v>
      </c>
      <c r="JU134" t="s">
        <v>1</v>
      </c>
      <c r="JW134" t="s">
        <v>1</v>
      </c>
      <c r="JX134">
        <v>0</v>
      </c>
      <c r="JY134">
        <v>122</v>
      </c>
      <c r="JZ134" t="s">
        <v>797</v>
      </c>
      <c r="KA134" t="s">
        <v>147</v>
      </c>
      <c r="KB134" t="s">
        <v>738</v>
      </c>
      <c r="KC134" t="s">
        <v>1</v>
      </c>
      <c r="KD134" t="s">
        <v>1</v>
      </c>
      <c r="KE134" t="s">
        <v>1</v>
      </c>
      <c r="KF134" t="s">
        <v>1</v>
      </c>
      <c r="KG134" t="s">
        <v>1</v>
      </c>
      <c r="KH134" t="s">
        <v>1</v>
      </c>
      <c r="KI134" t="s">
        <v>1</v>
      </c>
      <c r="KJ134" t="s">
        <v>1</v>
      </c>
      <c r="KK134" t="s">
        <v>1</v>
      </c>
    </row>
    <row r="135" spans="1:297" x14ac:dyDescent="0.2">
      <c r="A135">
        <v>134</v>
      </c>
      <c r="B135" t="s">
        <v>705</v>
      </c>
      <c r="C135" t="s">
        <v>135</v>
      </c>
      <c r="D135" t="s">
        <v>153</v>
      </c>
      <c r="E135">
        <v>21</v>
      </c>
      <c r="F135" t="s">
        <v>154</v>
      </c>
      <c r="G135" t="s">
        <v>1</v>
      </c>
      <c r="H135" s="26" t="s">
        <v>1420</v>
      </c>
      <c r="I135" t="s">
        <v>1</v>
      </c>
      <c r="J135" t="s">
        <v>1</v>
      </c>
      <c r="K135" t="s">
        <v>1</v>
      </c>
      <c r="L135" t="s">
        <v>1</v>
      </c>
      <c r="M135" t="s">
        <v>1</v>
      </c>
      <c r="N135" t="s">
        <v>1</v>
      </c>
      <c r="O135" t="s">
        <v>1</v>
      </c>
      <c r="P135" t="s">
        <v>1</v>
      </c>
      <c r="Q135" t="s">
        <v>1</v>
      </c>
      <c r="R135" t="s">
        <v>1</v>
      </c>
      <c r="S135" t="s">
        <v>1</v>
      </c>
      <c r="T135" t="s">
        <v>1</v>
      </c>
      <c r="U135" t="s">
        <v>1</v>
      </c>
      <c r="V135" t="s">
        <v>1</v>
      </c>
      <c r="W135" t="s">
        <v>1</v>
      </c>
      <c r="X135" t="s">
        <v>1</v>
      </c>
      <c r="Y135" t="s">
        <v>1</v>
      </c>
      <c r="Z135" t="s">
        <v>1</v>
      </c>
      <c r="AA135" t="s">
        <v>1</v>
      </c>
      <c r="AB135" t="s">
        <v>1</v>
      </c>
      <c r="AC135" t="s">
        <v>1</v>
      </c>
      <c r="AD135" t="s">
        <v>1</v>
      </c>
      <c r="AE135" t="s">
        <v>1</v>
      </c>
      <c r="AF135" t="s">
        <v>1</v>
      </c>
      <c r="AG135" t="s">
        <v>1</v>
      </c>
      <c r="AH135" t="s">
        <v>1</v>
      </c>
      <c r="AI135" t="s">
        <v>1</v>
      </c>
      <c r="AJ135" t="s">
        <v>1</v>
      </c>
      <c r="AK135" t="s">
        <v>1</v>
      </c>
      <c r="AL135" t="s">
        <v>1</v>
      </c>
      <c r="AM135" t="s">
        <v>1</v>
      </c>
      <c r="AN135">
        <v>134</v>
      </c>
      <c r="AO135">
        <f t="shared" si="12"/>
        <v>134</v>
      </c>
      <c r="AP135">
        <f t="shared" si="10"/>
        <v>21</v>
      </c>
      <c r="AQ135">
        <f t="shared" si="11"/>
        <v>21</v>
      </c>
      <c r="AR135" s="26" t="s">
        <v>1355</v>
      </c>
      <c r="AS135" s="26" t="s">
        <v>1356</v>
      </c>
      <c r="AT135" t="s">
        <v>713</v>
      </c>
      <c r="AU135" t="s">
        <v>1</v>
      </c>
      <c r="AV135" t="s">
        <v>1</v>
      </c>
      <c r="AW135">
        <v>45.39</v>
      </c>
      <c r="AX135">
        <v>-93.89</v>
      </c>
      <c r="AY135" t="s">
        <v>737</v>
      </c>
      <c r="BA135" s="3">
        <v>4</v>
      </c>
      <c r="BB135" s="3"/>
      <c r="BC135" s="3"/>
      <c r="BD135" s="3"/>
      <c r="BE135" s="3"/>
      <c r="BF135">
        <v>1999</v>
      </c>
      <c r="BG135" s="24" t="s">
        <v>732</v>
      </c>
      <c r="BH135" s="24" t="s">
        <v>733</v>
      </c>
      <c r="BI135" s="24" t="s">
        <v>733</v>
      </c>
      <c r="BJ135" s="24" t="s">
        <v>732</v>
      </c>
      <c r="BK135" s="24" t="s">
        <v>733</v>
      </c>
      <c r="BL135" s="25" t="s">
        <v>733</v>
      </c>
      <c r="BM135" s="24" t="s">
        <v>733</v>
      </c>
      <c r="BN135" s="24" t="s">
        <v>732</v>
      </c>
      <c r="BO135" s="24" t="s">
        <v>733</v>
      </c>
      <c r="BP135" s="24" t="s">
        <v>733</v>
      </c>
      <c r="BQ135" s="24" t="s">
        <v>945</v>
      </c>
      <c r="BR135" s="24" t="s">
        <v>945</v>
      </c>
      <c r="BS135" s="25" t="s">
        <v>934</v>
      </c>
      <c r="BT135" s="24" t="s">
        <v>934</v>
      </c>
      <c r="BU135" s="24" t="s">
        <v>934</v>
      </c>
      <c r="BV135" s="24" t="s">
        <v>934</v>
      </c>
      <c r="BW135" s="24" t="s">
        <v>934</v>
      </c>
      <c r="BX135" s="24" t="s">
        <v>934</v>
      </c>
      <c r="BY135" s="25" t="s">
        <v>945</v>
      </c>
      <c r="BZ135" t="s">
        <v>22</v>
      </c>
      <c r="CB135" t="s">
        <v>1</v>
      </c>
      <c r="CC135" s="4">
        <f>AVERAGE(7.7,9.1,12.9)*1000</f>
        <v>9900</v>
      </c>
      <c r="CD135" s="4"/>
      <c r="CE135" s="4"/>
      <c r="CF135" t="s">
        <v>793</v>
      </c>
      <c r="CG135">
        <v>100</v>
      </c>
      <c r="CH135" t="s">
        <v>805</v>
      </c>
      <c r="CI135" s="28">
        <v>0.6</v>
      </c>
      <c r="CJ135" s="9" t="s">
        <v>1</v>
      </c>
      <c r="CK135" t="s">
        <v>807</v>
      </c>
      <c r="CL135" s="4">
        <f>AVERAGE(0.6,0.4,1.3)*1000</f>
        <v>766.66666666666663</v>
      </c>
      <c r="CM135" t="s">
        <v>847</v>
      </c>
      <c r="CN135" s="4">
        <f>AVERAGE(73,88,120)</f>
        <v>93.666666666666671</v>
      </c>
      <c r="CO135" s="4"/>
      <c r="CP135" s="4" t="s">
        <v>1</v>
      </c>
      <c r="CQ135" s="4" t="s">
        <v>1</v>
      </c>
      <c r="CR135" s="4" t="s">
        <v>1</v>
      </c>
      <c r="CS135" s="4" t="s">
        <v>1</v>
      </c>
      <c r="CT135" s="4" t="s">
        <v>1</v>
      </c>
      <c r="CU135" s="4" t="s">
        <v>1</v>
      </c>
      <c r="CV135" t="s">
        <v>852</v>
      </c>
      <c r="CW135">
        <v>100</v>
      </c>
      <c r="CX135">
        <v>0</v>
      </c>
      <c r="CY135">
        <v>15</v>
      </c>
      <c r="CZ135" s="26" t="s">
        <v>1358</v>
      </c>
      <c r="DA135" t="s">
        <v>734</v>
      </c>
      <c r="DB135">
        <v>83</v>
      </c>
      <c r="DC135">
        <v>0</v>
      </c>
      <c r="DD135">
        <v>15</v>
      </c>
      <c r="DE135" s="26" t="s">
        <v>1358</v>
      </c>
      <c r="DF135" t="s">
        <v>735</v>
      </c>
      <c r="DG135">
        <v>9.5</v>
      </c>
      <c r="DH135">
        <v>0</v>
      </c>
      <c r="DI135">
        <v>15</v>
      </c>
      <c r="DJ135" s="26" t="s">
        <v>1358</v>
      </c>
      <c r="DK135" t="s">
        <v>736</v>
      </c>
      <c r="DL135">
        <v>7.5</v>
      </c>
      <c r="DM135">
        <v>0</v>
      </c>
      <c r="DN135">
        <v>15</v>
      </c>
      <c r="DO135" s="26" t="s">
        <v>1358</v>
      </c>
      <c r="DP135" t="s">
        <v>6</v>
      </c>
      <c r="DQ135" t="s">
        <v>1</v>
      </c>
      <c r="DR135">
        <v>6.6</v>
      </c>
      <c r="DS135">
        <v>0</v>
      </c>
      <c r="DT135">
        <v>15</v>
      </c>
      <c r="DU135" s="26" t="s">
        <v>1358</v>
      </c>
      <c r="EA135" t="s">
        <v>982</v>
      </c>
      <c r="EB135">
        <v>10.4</v>
      </c>
      <c r="EC135">
        <v>0</v>
      </c>
      <c r="ED135">
        <v>15</v>
      </c>
      <c r="EE135" s="26" t="s">
        <v>1358</v>
      </c>
      <c r="EF135" s="26"/>
      <c r="FZ135" t="s">
        <v>806</v>
      </c>
      <c r="GA135">
        <v>556.33333330000005</v>
      </c>
      <c r="GE135" s="26" t="s">
        <v>1358</v>
      </c>
      <c r="HA135" s="5" t="s">
        <v>1</v>
      </c>
      <c r="HB135" s="4" t="s">
        <v>1</v>
      </c>
      <c r="HC135" t="s">
        <v>1</v>
      </c>
      <c r="HD135" t="s">
        <v>1</v>
      </c>
      <c r="HE135" t="s">
        <v>1</v>
      </c>
      <c r="HF135" s="5" t="s">
        <v>1</v>
      </c>
      <c r="HG135" s="4" t="s">
        <v>1</v>
      </c>
      <c r="HH135" t="s">
        <v>1</v>
      </c>
      <c r="HI135" t="s">
        <v>1</v>
      </c>
      <c r="HJ135" t="s">
        <v>1</v>
      </c>
      <c r="HK135" t="s">
        <v>815</v>
      </c>
      <c r="HL135" s="35">
        <v>1.6</v>
      </c>
      <c r="HM135">
        <v>0</v>
      </c>
      <c r="HN135">
        <v>15</v>
      </c>
      <c r="HO135" t="s">
        <v>1451</v>
      </c>
      <c r="HP135" s="26" t="s">
        <v>1358</v>
      </c>
      <c r="HZ135" t="s">
        <v>1</v>
      </c>
      <c r="IA135" t="s">
        <v>1</v>
      </c>
      <c r="IB135" s="10" t="s">
        <v>1</v>
      </c>
      <c r="IC135" s="10"/>
      <c r="ID135" s="10"/>
      <c r="IE135" s="10" t="s">
        <v>1</v>
      </c>
      <c r="IF135" s="10" t="s">
        <v>1</v>
      </c>
      <c r="IG135" s="10" t="s">
        <v>974</v>
      </c>
      <c r="IH135" s="11">
        <f>225*61.5%</f>
        <v>138.375</v>
      </c>
      <c r="II135" s="10" t="s">
        <v>1</v>
      </c>
      <c r="IJ135" s="10" t="s">
        <v>1</v>
      </c>
      <c r="IK135" s="12" t="s">
        <v>976</v>
      </c>
      <c r="IL135" s="10">
        <f>(166-IH135/1.21)*1.21</f>
        <v>62.484999999999992</v>
      </c>
      <c r="IM135" s="10" t="s">
        <v>1</v>
      </c>
      <c r="IN135" s="10" t="s">
        <v>1</v>
      </c>
      <c r="IO135" s="10" t="s">
        <v>977</v>
      </c>
      <c r="IP135" s="10">
        <f>55*2.29</f>
        <v>125.95</v>
      </c>
      <c r="IQ135" t="s">
        <v>1</v>
      </c>
      <c r="IR135" t="s">
        <v>1</v>
      </c>
      <c r="IS135" t="s">
        <v>1</v>
      </c>
      <c r="IT135" t="s">
        <v>1</v>
      </c>
      <c r="IW135" t="s">
        <v>1</v>
      </c>
      <c r="IX135" t="s">
        <v>1</v>
      </c>
      <c r="IY135" t="s">
        <v>808</v>
      </c>
      <c r="IZ135">
        <v>2933.333333</v>
      </c>
      <c r="JA135" t="s">
        <v>1</v>
      </c>
      <c r="JB135" s="4" t="s">
        <v>1</v>
      </c>
      <c r="JC135" t="s">
        <v>1</v>
      </c>
      <c r="JD135" s="4" t="s">
        <v>1</v>
      </c>
      <c r="JE135" t="s">
        <v>810</v>
      </c>
      <c r="JF135">
        <v>100</v>
      </c>
      <c r="JR135" t="s">
        <v>1066</v>
      </c>
      <c r="JS135">
        <v>90</v>
      </c>
      <c r="JU135" t="s">
        <v>1</v>
      </c>
      <c r="JW135" t="s">
        <v>1</v>
      </c>
      <c r="JX135">
        <v>0</v>
      </c>
      <c r="JY135">
        <v>120</v>
      </c>
      <c r="JZ135" t="s">
        <v>800</v>
      </c>
      <c r="KA135" t="s">
        <v>155</v>
      </c>
      <c r="KB135" t="s">
        <v>738</v>
      </c>
      <c r="KC135" t="s">
        <v>1</v>
      </c>
      <c r="KD135" t="s">
        <v>1</v>
      </c>
      <c r="KE135" t="s">
        <v>1</v>
      </c>
      <c r="KF135" t="s">
        <v>1</v>
      </c>
      <c r="KG135" t="s">
        <v>1</v>
      </c>
      <c r="KH135" t="s">
        <v>1</v>
      </c>
      <c r="KI135" t="s">
        <v>1</v>
      </c>
      <c r="KJ135" t="s">
        <v>1</v>
      </c>
      <c r="KK135" t="s">
        <v>1</v>
      </c>
    </row>
    <row r="136" spans="1:297" x14ac:dyDescent="0.2">
      <c r="A136">
        <v>135</v>
      </c>
      <c r="B136" t="s">
        <v>705</v>
      </c>
      <c r="C136" t="s">
        <v>156</v>
      </c>
      <c r="D136" t="s">
        <v>153</v>
      </c>
      <c r="E136">
        <v>21</v>
      </c>
      <c r="F136" t="s">
        <v>154</v>
      </c>
      <c r="G136" t="s">
        <v>1</v>
      </c>
      <c r="H136" s="26" t="s">
        <v>1420</v>
      </c>
      <c r="I136" t="s">
        <v>1</v>
      </c>
      <c r="J136" t="s">
        <v>1</v>
      </c>
      <c r="K136" t="s">
        <v>1</v>
      </c>
      <c r="L136" t="s">
        <v>1</v>
      </c>
      <c r="M136" t="s">
        <v>1</v>
      </c>
      <c r="N136" t="s">
        <v>1</v>
      </c>
      <c r="O136" t="s">
        <v>1</v>
      </c>
      <c r="P136" t="s">
        <v>1</v>
      </c>
      <c r="Q136" t="s">
        <v>1</v>
      </c>
      <c r="R136" t="s">
        <v>1</v>
      </c>
      <c r="S136" t="s">
        <v>1</v>
      </c>
      <c r="T136" t="s">
        <v>1</v>
      </c>
      <c r="U136" t="s">
        <v>1</v>
      </c>
      <c r="V136" t="s">
        <v>1</v>
      </c>
      <c r="W136" t="s">
        <v>1</v>
      </c>
      <c r="X136" t="s">
        <v>1</v>
      </c>
      <c r="Y136" t="s">
        <v>1</v>
      </c>
      <c r="Z136" t="s">
        <v>1</v>
      </c>
      <c r="AA136" t="s">
        <v>1</v>
      </c>
      <c r="AB136" t="s">
        <v>1</v>
      </c>
      <c r="AC136" t="s">
        <v>1</v>
      </c>
      <c r="AD136" t="s">
        <v>1</v>
      </c>
      <c r="AE136" t="s">
        <v>1</v>
      </c>
      <c r="AF136" t="s">
        <v>1</v>
      </c>
      <c r="AG136" t="s">
        <v>1</v>
      </c>
      <c r="AH136" t="s">
        <v>1</v>
      </c>
      <c r="AI136" t="s">
        <v>1</v>
      </c>
      <c r="AJ136" t="s">
        <v>1</v>
      </c>
      <c r="AK136" t="s">
        <v>1</v>
      </c>
      <c r="AL136" t="s">
        <v>1</v>
      </c>
      <c r="AM136" t="s">
        <v>1</v>
      </c>
      <c r="AN136">
        <v>135</v>
      </c>
      <c r="AO136">
        <f t="shared" si="12"/>
        <v>135</v>
      </c>
      <c r="AP136">
        <f t="shared" si="10"/>
        <v>21</v>
      </c>
      <c r="AQ136">
        <f t="shared" si="11"/>
        <v>21</v>
      </c>
      <c r="AR136" s="26" t="s">
        <v>1355</v>
      </c>
      <c r="AS136" s="26" t="s">
        <v>1356</v>
      </c>
      <c r="AT136" t="s">
        <v>713</v>
      </c>
      <c r="AU136" t="s">
        <v>1</v>
      </c>
      <c r="AV136" t="s">
        <v>1</v>
      </c>
      <c r="AW136">
        <v>45.39</v>
      </c>
      <c r="AX136">
        <v>-93.89</v>
      </c>
      <c r="AY136" t="s">
        <v>737</v>
      </c>
      <c r="BA136" s="3">
        <v>4</v>
      </c>
      <c r="BB136" s="3"/>
      <c r="BC136" s="3"/>
      <c r="BD136" s="3"/>
      <c r="BE136" s="3"/>
      <c r="BF136">
        <v>1999</v>
      </c>
      <c r="BG136" s="24" t="s">
        <v>732</v>
      </c>
      <c r="BH136" s="24" t="s">
        <v>733</v>
      </c>
      <c r="BI136" s="24" t="s">
        <v>733</v>
      </c>
      <c r="BJ136" s="24" t="s">
        <v>732</v>
      </c>
      <c r="BK136" s="24" t="s">
        <v>733</v>
      </c>
      <c r="BL136" s="25" t="s">
        <v>733</v>
      </c>
      <c r="BM136" s="24" t="s">
        <v>733</v>
      </c>
      <c r="BN136" s="24" t="s">
        <v>732</v>
      </c>
      <c r="BO136" s="24" t="s">
        <v>733</v>
      </c>
      <c r="BP136" s="24" t="s">
        <v>733</v>
      </c>
      <c r="BQ136" s="24" t="s">
        <v>945</v>
      </c>
      <c r="BR136" s="24" t="s">
        <v>945</v>
      </c>
      <c r="BS136" s="25" t="s">
        <v>934</v>
      </c>
      <c r="BT136" s="24" t="s">
        <v>934</v>
      </c>
      <c r="BU136" s="24" t="s">
        <v>934</v>
      </c>
      <c r="BV136" s="24" t="s">
        <v>934</v>
      </c>
      <c r="BW136" s="24" t="s">
        <v>934</v>
      </c>
      <c r="BX136" s="24" t="s">
        <v>934</v>
      </c>
      <c r="BY136" s="25" t="s">
        <v>945</v>
      </c>
      <c r="BZ136" t="s">
        <v>22</v>
      </c>
      <c r="CB136" t="s">
        <v>1</v>
      </c>
      <c r="CC136" s="4">
        <f>AVERAGE(10.6,10.8,15.2)*1000</f>
        <v>12199.999999999998</v>
      </c>
      <c r="CD136" s="4"/>
      <c r="CE136" s="4"/>
      <c r="CF136" t="s">
        <v>793</v>
      </c>
      <c r="CG136">
        <v>100</v>
      </c>
      <c r="CH136" t="s">
        <v>805</v>
      </c>
      <c r="CI136" s="28">
        <v>0.6</v>
      </c>
      <c r="CJ136" s="9" t="s">
        <v>1</v>
      </c>
      <c r="CK136" t="s">
        <v>807</v>
      </c>
      <c r="CL136" s="4">
        <f>AVERAGE(2.9,0.6,2.5)*1000</f>
        <v>2000</v>
      </c>
      <c r="CM136" t="s">
        <v>847</v>
      </c>
      <c r="CN136" s="4">
        <f>AVERAGE(133,133,218)</f>
        <v>161.33333333333334</v>
      </c>
      <c r="CO136" s="4"/>
      <c r="CP136" s="4" t="s">
        <v>1</v>
      </c>
      <c r="CQ136" s="4" t="s">
        <v>1</v>
      </c>
      <c r="CR136" s="4" t="s">
        <v>1</v>
      </c>
      <c r="CS136" s="4" t="s">
        <v>1</v>
      </c>
      <c r="CT136" s="4" t="s">
        <v>1</v>
      </c>
      <c r="CU136" s="4" t="s">
        <v>1</v>
      </c>
      <c r="CV136" t="s">
        <v>852</v>
      </c>
      <c r="CW136">
        <v>100</v>
      </c>
      <c r="CX136">
        <v>0</v>
      </c>
      <c r="CY136">
        <v>15</v>
      </c>
      <c r="CZ136" s="26" t="s">
        <v>1358</v>
      </c>
      <c r="DA136" t="s">
        <v>734</v>
      </c>
      <c r="DB136">
        <v>83</v>
      </c>
      <c r="DC136">
        <v>0</v>
      </c>
      <c r="DD136">
        <v>15</v>
      </c>
      <c r="DE136" s="26" t="s">
        <v>1358</v>
      </c>
      <c r="DF136" t="s">
        <v>735</v>
      </c>
      <c r="DG136">
        <v>9.5</v>
      </c>
      <c r="DH136">
        <v>0</v>
      </c>
      <c r="DI136">
        <v>15</v>
      </c>
      <c r="DJ136" s="26" t="s">
        <v>1358</v>
      </c>
      <c r="DK136" t="s">
        <v>736</v>
      </c>
      <c r="DL136">
        <v>7.5</v>
      </c>
      <c r="DM136">
        <v>0</v>
      </c>
      <c r="DN136">
        <v>15</v>
      </c>
      <c r="DO136" s="26" t="s">
        <v>1358</v>
      </c>
      <c r="DP136" t="s">
        <v>6</v>
      </c>
      <c r="DQ136" t="s">
        <v>1</v>
      </c>
      <c r="DR136">
        <v>6.6</v>
      </c>
      <c r="DS136">
        <v>0</v>
      </c>
      <c r="DT136">
        <v>15</v>
      </c>
      <c r="DU136" s="26" t="s">
        <v>1358</v>
      </c>
      <c r="EA136" t="s">
        <v>982</v>
      </c>
      <c r="EB136">
        <v>10.4</v>
      </c>
      <c r="EC136">
        <v>0</v>
      </c>
      <c r="ED136">
        <v>15</v>
      </c>
      <c r="EE136" s="26" t="s">
        <v>1358</v>
      </c>
      <c r="EF136" s="26"/>
      <c r="FZ136" t="s">
        <v>806</v>
      </c>
      <c r="GA136">
        <v>556.33333330000005</v>
      </c>
      <c r="GE136" s="26" t="s">
        <v>1358</v>
      </c>
      <c r="HA136" s="5" t="s">
        <v>1</v>
      </c>
      <c r="HB136" s="4" t="s">
        <v>1</v>
      </c>
      <c r="HC136" t="s">
        <v>1</v>
      </c>
      <c r="HD136" t="s">
        <v>1</v>
      </c>
      <c r="HE136" t="s">
        <v>1</v>
      </c>
      <c r="HF136" s="5" t="s">
        <v>1</v>
      </c>
      <c r="HG136" s="4" t="s">
        <v>1</v>
      </c>
      <c r="HH136" t="s">
        <v>1</v>
      </c>
      <c r="HI136" t="s">
        <v>1</v>
      </c>
      <c r="HJ136" t="s">
        <v>1</v>
      </c>
      <c r="HK136" t="s">
        <v>815</v>
      </c>
      <c r="HL136" s="35">
        <v>1.6</v>
      </c>
      <c r="HM136">
        <v>0</v>
      </c>
      <c r="HN136">
        <v>15</v>
      </c>
      <c r="HO136" t="s">
        <v>1451</v>
      </c>
      <c r="HP136" s="26" t="s">
        <v>1358</v>
      </c>
      <c r="HZ136" t="s">
        <v>969</v>
      </c>
      <c r="IA136">
        <v>140</v>
      </c>
      <c r="IB136" s="10" t="s">
        <v>1</v>
      </c>
      <c r="IC136" s="10"/>
      <c r="ID136" s="10"/>
      <c r="IE136" s="10" t="s">
        <v>1</v>
      </c>
      <c r="IF136" s="10" t="s">
        <v>1</v>
      </c>
      <c r="IG136" s="10" t="s">
        <v>974</v>
      </c>
      <c r="IH136" s="11">
        <f t="shared" ref="IH136:IH147" si="13">225*61.5%</f>
        <v>138.375</v>
      </c>
      <c r="II136" s="10" t="s">
        <v>1</v>
      </c>
      <c r="IJ136" s="10" t="s">
        <v>1</v>
      </c>
      <c r="IK136" s="12" t="s">
        <v>976</v>
      </c>
      <c r="IL136" s="10">
        <f t="shared" ref="IL136:IL147" si="14">(166-IH136/1.21)*1.21</f>
        <v>62.484999999999992</v>
      </c>
      <c r="IM136" s="10" t="s">
        <v>1</v>
      </c>
      <c r="IN136" s="10" t="s">
        <v>1</v>
      </c>
      <c r="IO136" s="10" t="s">
        <v>977</v>
      </c>
      <c r="IP136" s="10">
        <f t="shared" ref="IP136:IP147" si="15">55*2.29</f>
        <v>125.95</v>
      </c>
      <c r="IQ136" t="s">
        <v>1</v>
      </c>
      <c r="IR136" t="s">
        <v>1</v>
      </c>
      <c r="IS136" t="s">
        <v>1</v>
      </c>
      <c r="IT136" t="s">
        <v>1</v>
      </c>
      <c r="IW136" t="s">
        <v>1</v>
      </c>
      <c r="IX136" t="s">
        <v>1</v>
      </c>
      <c r="IY136" t="s">
        <v>808</v>
      </c>
      <c r="IZ136">
        <v>2933.333333</v>
      </c>
      <c r="JA136" t="s">
        <v>1</v>
      </c>
      <c r="JB136" s="3" t="s">
        <v>1</v>
      </c>
      <c r="JC136" t="s">
        <v>1</v>
      </c>
      <c r="JD136" s="4" t="s">
        <v>1</v>
      </c>
      <c r="JE136" t="s">
        <v>810</v>
      </c>
      <c r="JF136">
        <v>100</v>
      </c>
      <c r="JR136" t="s">
        <v>1066</v>
      </c>
      <c r="JS136">
        <v>150.5</v>
      </c>
      <c r="JU136" t="s">
        <v>1</v>
      </c>
      <c r="JW136" t="s">
        <v>1</v>
      </c>
      <c r="JX136">
        <v>0</v>
      </c>
      <c r="JY136">
        <v>120</v>
      </c>
      <c r="JZ136" t="s">
        <v>800</v>
      </c>
      <c r="KA136" t="s">
        <v>155</v>
      </c>
      <c r="KB136" t="s">
        <v>738</v>
      </c>
      <c r="KC136" t="s">
        <v>1</v>
      </c>
      <c r="KD136" t="s">
        <v>1</v>
      </c>
      <c r="KE136" t="s">
        <v>1</v>
      </c>
      <c r="KF136" t="s">
        <v>1</v>
      </c>
      <c r="KG136" t="s">
        <v>1</v>
      </c>
      <c r="KH136" t="s">
        <v>1</v>
      </c>
      <c r="KI136" t="s">
        <v>1</v>
      </c>
      <c r="KJ136" t="s">
        <v>1</v>
      </c>
      <c r="KK136" t="s">
        <v>1</v>
      </c>
    </row>
    <row r="137" spans="1:297" x14ac:dyDescent="0.2">
      <c r="A137">
        <v>136</v>
      </c>
      <c r="B137" t="s">
        <v>705</v>
      </c>
      <c r="C137" t="s">
        <v>157</v>
      </c>
      <c r="D137" t="s">
        <v>153</v>
      </c>
      <c r="E137">
        <v>21</v>
      </c>
      <c r="F137" t="s">
        <v>154</v>
      </c>
      <c r="G137" t="s">
        <v>1</v>
      </c>
      <c r="H137" s="26" t="s">
        <v>1420</v>
      </c>
      <c r="I137" t="s">
        <v>1</v>
      </c>
      <c r="J137" t="s">
        <v>1</v>
      </c>
      <c r="K137" t="s">
        <v>1</v>
      </c>
      <c r="L137" t="s">
        <v>1</v>
      </c>
      <c r="M137" t="s">
        <v>1</v>
      </c>
      <c r="N137" t="s">
        <v>1</v>
      </c>
      <c r="O137" t="s">
        <v>1</v>
      </c>
      <c r="P137" t="s">
        <v>1</v>
      </c>
      <c r="Q137" t="s">
        <v>1</v>
      </c>
      <c r="R137" t="s">
        <v>1</v>
      </c>
      <c r="S137" t="s">
        <v>1</v>
      </c>
      <c r="T137" t="s">
        <v>1</v>
      </c>
      <c r="U137" t="s">
        <v>1</v>
      </c>
      <c r="V137" t="s">
        <v>1</v>
      </c>
      <c r="W137" t="s">
        <v>1</v>
      </c>
      <c r="X137" t="s">
        <v>1</v>
      </c>
      <c r="Y137" t="s">
        <v>1</v>
      </c>
      <c r="Z137" t="s">
        <v>1</v>
      </c>
      <c r="AA137" t="s">
        <v>1</v>
      </c>
      <c r="AB137" t="s">
        <v>1</v>
      </c>
      <c r="AC137" t="s">
        <v>1</v>
      </c>
      <c r="AD137" t="s">
        <v>1</v>
      </c>
      <c r="AE137" t="s">
        <v>1</v>
      </c>
      <c r="AF137" t="s">
        <v>1</v>
      </c>
      <c r="AG137" t="s">
        <v>1</v>
      </c>
      <c r="AH137" t="s">
        <v>1</v>
      </c>
      <c r="AI137" t="s">
        <v>1</v>
      </c>
      <c r="AJ137" t="s">
        <v>1</v>
      </c>
      <c r="AK137" t="s">
        <v>1</v>
      </c>
      <c r="AL137" t="s">
        <v>1</v>
      </c>
      <c r="AM137" t="s">
        <v>1</v>
      </c>
      <c r="AN137">
        <v>136</v>
      </c>
      <c r="AO137">
        <f t="shared" si="12"/>
        <v>136</v>
      </c>
      <c r="AP137">
        <f t="shared" si="10"/>
        <v>21</v>
      </c>
      <c r="AQ137">
        <f t="shared" si="11"/>
        <v>21</v>
      </c>
      <c r="AR137" s="26" t="s">
        <v>1355</v>
      </c>
      <c r="AS137" s="26" t="s">
        <v>1356</v>
      </c>
      <c r="AT137" t="s">
        <v>713</v>
      </c>
      <c r="AU137" t="s">
        <v>1</v>
      </c>
      <c r="AV137" t="s">
        <v>1</v>
      </c>
      <c r="AW137">
        <v>45.39</v>
      </c>
      <c r="AX137">
        <v>-93.89</v>
      </c>
      <c r="AY137" t="s">
        <v>737</v>
      </c>
      <c r="BA137" s="3">
        <v>4</v>
      </c>
      <c r="BB137" s="3"/>
      <c r="BC137" s="3"/>
      <c r="BD137" s="3"/>
      <c r="BE137" s="3"/>
      <c r="BF137">
        <v>1999</v>
      </c>
      <c r="BG137" s="24" t="s">
        <v>732</v>
      </c>
      <c r="BH137" s="24" t="s">
        <v>733</v>
      </c>
      <c r="BI137" s="24" t="s">
        <v>733</v>
      </c>
      <c r="BJ137" s="24" t="s">
        <v>732</v>
      </c>
      <c r="BK137" s="24" t="s">
        <v>733</v>
      </c>
      <c r="BL137" s="25" t="s">
        <v>733</v>
      </c>
      <c r="BM137" s="24" t="s">
        <v>733</v>
      </c>
      <c r="BN137" s="24" t="s">
        <v>732</v>
      </c>
      <c r="BO137" s="24" t="s">
        <v>733</v>
      </c>
      <c r="BP137" s="24" t="s">
        <v>733</v>
      </c>
      <c r="BQ137" s="24" t="s">
        <v>945</v>
      </c>
      <c r="BR137" s="24" t="s">
        <v>945</v>
      </c>
      <c r="BS137" s="25" t="s">
        <v>934</v>
      </c>
      <c r="BT137" s="24" t="s">
        <v>934</v>
      </c>
      <c r="BU137" s="24" t="s">
        <v>934</v>
      </c>
      <c r="BV137" s="24" t="s">
        <v>934</v>
      </c>
      <c r="BW137" s="24" t="s">
        <v>934</v>
      </c>
      <c r="BX137" s="24" t="s">
        <v>934</v>
      </c>
      <c r="BY137" s="25" t="s">
        <v>945</v>
      </c>
      <c r="BZ137" t="s">
        <v>22</v>
      </c>
      <c r="CB137" t="s">
        <v>1</v>
      </c>
      <c r="CC137" s="4">
        <f>AVERAGE(11.2,11.4,15.1)*1000</f>
        <v>12566.666666666668</v>
      </c>
      <c r="CD137" s="4"/>
      <c r="CE137" s="4"/>
      <c r="CF137" t="s">
        <v>793</v>
      </c>
      <c r="CG137">
        <v>100</v>
      </c>
      <c r="CH137" t="s">
        <v>805</v>
      </c>
      <c r="CI137" s="28">
        <v>0.6</v>
      </c>
      <c r="CJ137" s="9" t="s">
        <v>1</v>
      </c>
      <c r="CK137" t="s">
        <v>807</v>
      </c>
      <c r="CL137" s="4">
        <f>AVERAGE(1.2,0.9,2.9)*1000</f>
        <v>1666.6666666666667</v>
      </c>
      <c r="CM137" t="s">
        <v>847</v>
      </c>
      <c r="CN137" s="4">
        <f>AVERAGE(150,143,223)</f>
        <v>172</v>
      </c>
      <c r="CO137" s="4"/>
      <c r="CP137" s="4" t="s">
        <v>1</v>
      </c>
      <c r="CQ137" s="4" t="s">
        <v>1</v>
      </c>
      <c r="CR137" s="4" t="s">
        <v>1</v>
      </c>
      <c r="CS137" s="4" t="s">
        <v>1</v>
      </c>
      <c r="CT137" s="4" t="s">
        <v>1</v>
      </c>
      <c r="CU137" s="4" t="s">
        <v>1</v>
      </c>
      <c r="CV137" t="s">
        <v>852</v>
      </c>
      <c r="CW137">
        <v>100</v>
      </c>
      <c r="CX137">
        <v>0</v>
      </c>
      <c r="CY137">
        <v>15</v>
      </c>
      <c r="CZ137" s="26" t="s">
        <v>1358</v>
      </c>
      <c r="DA137" t="s">
        <v>734</v>
      </c>
      <c r="DB137">
        <v>83</v>
      </c>
      <c r="DC137">
        <v>0</v>
      </c>
      <c r="DD137">
        <v>15</v>
      </c>
      <c r="DE137" s="26" t="s">
        <v>1358</v>
      </c>
      <c r="DF137" t="s">
        <v>735</v>
      </c>
      <c r="DG137">
        <v>9.5</v>
      </c>
      <c r="DH137">
        <v>0</v>
      </c>
      <c r="DI137">
        <v>15</v>
      </c>
      <c r="DJ137" s="26" t="s">
        <v>1358</v>
      </c>
      <c r="DK137" t="s">
        <v>736</v>
      </c>
      <c r="DL137">
        <v>7.5</v>
      </c>
      <c r="DM137">
        <v>0</v>
      </c>
      <c r="DN137">
        <v>15</v>
      </c>
      <c r="DO137" s="26" t="s">
        <v>1358</v>
      </c>
      <c r="DP137" t="s">
        <v>6</v>
      </c>
      <c r="DQ137" t="s">
        <v>1</v>
      </c>
      <c r="DR137">
        <v>6.6</v>
      </c>
      <c r="DS137">
        <v>0</v>
      </c>
      <c r="DT137">
        <v>15</v>
      </c>
      <c r="DU137" s="26" t="s">
        <v>1358</v>
      </c>
      <c r="EA137" t="s">
        <v>982</v>
      </c>
      <c r="EB137">
        <v>10.4</v>
      </c>
      <c r="EC137">
        <v>0</v>
      </c>
      <c r="ED137">
        <v>15</v>
      </c>
      <c r="EE137" s="26" t="s">
        <v>1358</v>
      </c>
      <c r="EF137" s="26"/>
      <c r="FZ137" t="s">
        <v>806</v>
      </c>
      <c r="GA137">
        <v>556.33333330000005</v>
      </c>
      <c r="GE137" s="26" t="s">
        <v>1358</v>
      </c>
      <c r="HA137" s="5" t="s">
        <v>1</v>
      </c>
      <c r="HB137" s="4" t="s">
        <v>1</v>
      </c>
      <c r="HC137" t="s">
        <v>1</v>
      </c>
      <c r="HD137" t="s">
        <v>1</v>
      </c>
      <c r="HE137" t="s">
        <v>1</v>
      </c>
      <c r="HF137" s="5" t="s">
        <v>1</v>
      </c>
      <c r="HG137" s="4" t="s">
        <v>1</v>
      </c>
      <c r="HH137" t="s">
        <v>1</v>
      </c>
      <c r="HI137" t="s">
        <v>1</v>
      </c>
      <c r="HJ137" t="s">
        <v>1</v>
      </c>
      <c r="HK137" t="s">
        <v>815</v>
      </c>
      <c r="HL137" s="35">
        <v>1.6</v>
      </c>
      <c r="HM137">
        <v>0</v>
      </c>
      <c r="HN137">
        <v>15</v>
      </c>
      <c r="HO137" t="s">
        <v>1451</v>
      </c>
      <c r="HP137" s="26" t="s">
        <v>1358</v>
      </c>
      <c r="HZ137" t="s">
        <v>1295</v>
      </c>
      <c r="IA137">
        <v>140</v>
      </c>
      <c r="IB137" s="10" t="s">
        <v>1</v>
      </c>
      <c r="IC137" s="10"/>
      <c r="ID137" s="10"/>
      <c r="IE137" s="5" t="s">
        <v>1312</v>
      </c>
      <c r="IF137" s="5" t="b">
        <v>1</v>
      </c>
      <c r="IG137" s="10" t="s">
        <v>974</v>
      </c>
      <c r="IH137" s="11">
        <f t="shared" si="13"/>
        <v>138.375</v>
      </c>
      <c r="II137" s="10" t="s">
        <v>1</v>
      </c>
      <c r="IJ137" s="10" t="s">
        <v>1</v>
      </c>
      <c r="IK137" s="12" t="s">
        <v>976</v>
      </c>
      <c r="IL137" s="10">
        <f t="shared" si="14"/>
        <v>62.484999999999992</v>
      </c>
      <c r="IM137" s="10" t="s">
        <v>1</v>
      </c>
      <c r="IN137" s="10" t="s">
        <v>1</v>
      </c>
      <c r="IO137" s="10" t="s">
        <v>977</v>
      </c>
      <c r="IP137" s="10">
        <f t="shared" si="15"/>
        <v>125.95</v>
      </c>
      <c r="IQ137" t="s">
        <v>1</v>
      </c>
      <c r="IR137" t="s">
        <v>1</v>
      </c>
      <c r="IS137" t="s">
        <v>1</v>
      </c>
      <c r="IT137" t="s">
        <v>1</v>
      </c>
      <c r="IW137" t="s">
        <v>1</v>
      </c>
      <c r="IX137" t="s">
        <v>1</v>
      </c>
      <c r="IY137" t="s">
        <v>808</v>
      </c>
      <c r="IZ137">
        <v>2933.333333</v>
      </c>
      <c r="JA137" t="s">
        <v>1</v>
      </c>
      <c r="JB137" s="3" t="s">
        <v>1</v>
      </c>
      <c r="JC137" t="s">
        <v>1</v>
      </c>
      <c r="JD137" s="4" t="s">
        <v>1</v>
      </c>
      <c r="JE137" t="s">
        <v>810</v>
      </c>
      <c r="JF137">
        <v>100</v>
      </c>
      <c r="JR137" t="s">
        <v>1066</v>
      </c>
      <c r="JS137">
        <v>141.69999999999999</v>
      </c>
      <c r="JU137" t="s">
        <v>1</v>
      </c>
      <c r="JW137" t="s">
        <v>1</v>
      </c>
      <c r="JX137">
        <v>0</v>
      </c>
      <c r="JY137">
        <v>120</v>
      </c>
      <c r="JZ137" t="s">
        <v>800</v>
      </c>
      <c r="KA137" t="s">
        <v>155</v>
      </c>
      <c r="KB137" t="s">
        <v>738</v>
      </c>
      <c r="KC137" t="s">
        <v>1</v>
      </c>
      <c r="KD137" t="s">
        <v>1</v>
      </c>
      <c r="KE137" t="s">
        <v>1</v>
      </c>
      <c r="KF137" t="s">
        <v>1</v>
      </c>
      <c r="KG137" t="s">
        <v>1</v>
      </c>
      <c r="KH137" t="s">
        <v>1</v>
      </c>
      <c r="KI137" t="s">
        <v>1</v>
      </c>
      <c r="KJ137" t="s">
        <v>1</v>
      </c>
      <c r="KK137" t="s">
        <v>1</v>
      </c>
    </row>
    <row r="138" spans="1:297" x14ac:dyDescent="0.2">
      <c r="A138">
        <v>137</v>
      </c>
      <c r="B138" t="s">
        <v>705</v>
      </c>
      <c r="C138" t="s">
        <v>158</v>
      </c>
      <c r="D138" t="s">
        <v>153</v>
      </c>
      <c r="E138">
        <v>21</v>
      </c>
      <c r="F138" t="s">
        <v>154</v>
      </c>
      <c r="G138" t="s">
        <v>1</v>
      </c>
      <c r="H138" s="26" t="s">
        <v>1420</v>
      </c>
      <c r="I138" t="s">
        <v>1</v>
      </c>
      <c r="J138" t="s">
        <v>1</v>
      </c>
      <c r="K138" t="s">
        <v>1</v>
      </c>
      <c r="L138" t="s">
        <v>1</v>
      </c>
      <c r="M138" t="s">
        <v>1</v>
      </c>
      <c r="N138" t="s">
        <v>1</v>
      </c>
      <c r="O138" t="s">
        <v>1</v>
      </c>
      <c r="P138" t="s">
        <v>1</v>
      </c>
      <c r="Q138" t="s">
        <v>1</v>
      </c>
      <c r="R138" t="s">
        <v>1</v>
      </c>
      <c r="S138" t="s">
        <v>1</v>
      </c>
      <c r="T138" t="s">
        <v>1</v>
      </c>
      <c r="U138" t="s">
        <v>1</v>
      </c>
      <c r="V138" t="s">
        <v>1</v>
      </c>
      <c r="W138" t="s">
        <v>1</v>
      </c>
      <c r="X138" t="s">
        <v>1</v>
      </c>
      <c r="Y138" t="s">
        <v>1</v>
      </c>
      <c r="Z138" t="s">
        <v>1</v>
      </c>
      <c r="AA138" t="s">
        <v>1</v>
      </c>
      <c r="AB138" t="s">
        <v>1</v>
      </c>
      <c r="AC138" t="s">
        <v>1</v>
      </c>
      <c r="AD138" t="s">
        <v>1</v>
      </c>
      <c r="AE138" t="s">
        <v>1</v>
      </c>
      <c r="AF138" t="s">
        <v>1</v>
      </c>
      <c r="AG138" t="s">
        <v>1</v>
      </c>
      <c r="AH138" t="s">
        <v>1</v>
      </c>
      <c r="AI138" t="s">
        <v>1</v>
      </c>
      <c r="AJ138" t="s">
        <v>1</v>
      </c>
      <c r="AK138" t="s">
        <v>1</v>
      </c>
      <c r="AL138" t="s">
        <v>1</v>
      </c>
      <c r="AM138" t="s">
        <v>1</v>
      </c>
      <c r="AN138">
        <v>137</v>
      </c>
      <c r="AO138">
        <f t="shared" si="12"/>
        <v>137</v>
      </c>
      <c r="AP138">
        <f t="shared" si="10"/>
        <v>21</v>
      </c>
      <c r="AQ138">
        <f t="shared" si="11"/>
        <v>21</v>
      </c>
      <c r="AR138" s="26" t="s">
        <v>1355</v>
      </c>
      <c r="AS138" s="26" t="s">
        <v>1356</v>
      </c>
      <c r="AT138" t="s">
        <v>713</v>
      </c>
      <c r="AU138" t="s">
        <v>1</v>
      </c>
      <c r="AV138" t="s">
        <v>1</v>
      </c>
      <c r="AW138">
        <v>45.39</v>
      </c>
      <c r="AX138">
        <v>-93.89</v>
      </c>
      <c r="AY138" t="s">
        <v>737</v>
      </c>
      <c r="BA138" s="3">
        <v>4</v>
      </c>
      <c r="BB138" s="3"/>
      <c r="BC138" s="3"/>
      <c r="BD138" s="3"/>
      <c r="BE138" s="3"/>
      <c r="BF138">
        <v>1999</v>
      </c>
      <c r="BG138" s="24" t="s">
        <v>732</v>
      </c>
      <c r="BH138" s="24" t="s">
        <v>733</v>
      </c>
      <c r="BI138" s="24" t="s">
        <v>733</v>
      </c>
      <c r="BJ138" s="24" t="s">
        <v>732</v>
      </c>
      <c r="BK138" s="24" t="s">
        <v>733</v>
      </c>
      <c r="BL138" s="25" t="s">
        <v>733</v>
      </c>
      <c r="BM138" s="24" t="s">
        <v>733</v>
      </c>
      <c r="BN138" s="24" t="s">
        <v>732</v>
      </c>
      <c r="BO138" s="24" t="s">
        <v>733</v>
      </c>
      <c r="BP138" s="24" t="s">
        <v>733</v>
      </c>
      <c r="BQ138" s="24" t="s">
        <v>945</v>
      </c>
      <c r="BR138" s="24" t="s">
        <v>945</v>
      </c>
      <c r="BS138" s="25" t="s">
        <v>934</v>
      </c>
      <c r="BT138" s="24" t="s">
        <v>934</v>
      </c>
      <c r="BU138" s="24" t="s">
        <v>934</v>
      </c>
      <c r="BV138" s="24" t="s">
        <v>934</v>
      </c>
      <c r="BW138" s="24" t="s">
        <v>934</v>
      </c>
      <c r="BX138" s="24" t="s">
        <v>934</v>
      </c>
      <c r="BY138" s="25" t="s">
        <v>945</v>
      </c>
      <c r="BZ138" t="s">
        <v>22</v>
      </c>
      <c r="CB138" t="s">
        <v>1</v>
      </c>
      <c r="CC138" s="4">
        <f>AVERAGE(10.5,12.5,16.1)*1000</f>
        <v>13033.333333333334</v>
      </c>
      <c r="CD138" s="4"/>
      <c r="CE138" s="4"/>
      <c r="CF138" t="s">
        <v>793</v>
      </c>
      <c r="CG138">
        <v>100</v>
      </c>
      <c r="CH138" t="s">
        <v>805</v>
      </c>
      <c r="CI138" s="28">
        <v>0.6</v>
      </c>
      <c r="CJ138" s="9" t="s">
        <v>1</v>
      </c>
      <c r="CK138" t="s">
        <v>807</v>
      </c>
      <c r="CL138" s="4">
        <f>AVERAGE(1.4,1.3,3.6)*1000</f>
        <v>2100</v>
      </c>
      <c r="CM138" t="s">
        <v>847</v>
      </c>
      <c r="CN138" s="4">
        <f>AVERAGE(142,187,292)</f>
        <v>207</v>
      </c>
      <c r="CO138" s="4"/>
      <c r="CP138" s="4" t="s">
        <v>1</v>
      </c>
      <c r="CQ138" s="4" t="s">
        <v>1</v>
      </c>
      <c r="CR138" s="4" t="s">
        <v>1</v>
      </c>
      <c r="CS138" s="4" t="s">
        <v>1</v>
      </c>
      <c r="CT138" s="4" t="s">
        <v>1</v>
      </c>
      <c r="CU138" s="4" t="s">
        <v>1</v>
      </c>
      <c r="CV138" t="s">
        <v>852</v>
      </c>
      <c r="CW138">
        <v>100</v>
      </c>
      <c r="CX138">
        <v>0</v>
      </c>
      <c r="CY138">
        <v>15</v>
      </c>
      <c r="CZ138" s="26" t="s">
        <v>1358</v>
      </c>
      <c r="DA138" t="s">
        <v>734</v>
      </c>
      <c r="DB138">
        <v>83</v>
      </c>
      <c r="DC138">
        <v>0</v>
      </c>
      <c r="DD138">
        <v>15</v>
      </c>
      <c r="DE138" s="26" t="s">
        <v>1358</v>
      </c>
      <c r="DF138" t="s">
        <v>735</v>
      </c>
      <c r="DG138">
        <v>9.5</v>
      </c>
      <c r="DH138">
        <v>0</v>
      </c>
      <c r="DI138">
        <v>15</v>
      </c>
      <c r="DJ138" s="26" t="s">
        <v>1358</v>
      </c>
      <c r="DK138" t="s">
        <v>736</v>
      </c>
      <c r="DL138">
        <v>7.5</v>
      </c>
      <c r="DM138">
        <v>0</v>
      </c>
      <c r="DN138">
        <v>15</v>
      </c>
      <c r="DO138" s="26" t="s">
        <v>1358</v>
      </c>
      <c r="DP138" t="s">
        <v>6</v>
      </c>
      <c r="DQ138" t="s">
        <v>1</v>
      </c>
      <c r="DR138">
        <v>6.6</v>
      </c>
      <c r="DS138">
        <v>0</v>
      </c>
      <c r="DT138">
        <v>15</v>
      </c>
      <c r="DU138" s="26" t="s">
        <v>1358</v>
      </c>
      <c r="EA138" t="s">
        <v>982</v>
      </c>
      <c r="EB138">
        <v>10.4</v>
      </c>
      <c r="EC138">
        <v>0</v>
      </c>
      <c r="ED138">
        <v>15</v>
      </c>
      <c r="EE138" s="26" t="s">
        <v>1358</v>
      </c>
      <c r="EF138" s="26"/>
      <c r="FZ138" t="s">
        <v>806</v>
      </c>
      <c r="GA138">
        <v>556.33333330000005</v>
      </c>
      <c r="GE138" s="26" t="s">
        <v>1358</v>
      </c>
      <c r="HA138" s="5" t="s">
        <v>1</v>
      </c>
      <c r="HB138" s="4" t="s">
        <v>1</v>
      </c>
      <c r="HC138" t="s">
        <v>1</v>
      </c>
      <c r="HD138" t="s">
        <v>1</v>
      </c>
      <c r="HE138" t="s">
        <v>1</v>
      </c>
      <c r="HF138" s="5" t="s">
        <v>1</v>
      </c>
      <c r="HG138" s="4" t="s">
        <v>1</v>
      </c>
      <c r="HH138" t="s">
        <v>1</v>
      </c>
      <c r="HI138" t="s">
        <v>1</v>
      </c>
      <c r="HJ138" t="s">
        <v>1</v>
      </c>
      <c r="HK138" t="s">
        <v>815</v>
      </c>
      <c r="HL138" s="35">
        <v>1.6</v>
      </c>
      <c r="HM138">
        <v>0</v>
      </c>
      <c r="HN138">
        <v>15</v>
      </c>
      <c r="HO138" t="s">
        <v>1451</v>
      </c>
      <c r="HP138" s="26" t="s">
        <v>1358</v>
      </c>
      <c r="HZ138" t="s">
        <v>969</v>
      </c>
      <c r="IA138">
        <v>280</v>
      </c>
      <c r="IB138" s="10" t="s">
        <v>1</v>
      </c>
      <c r="IC138" s="10"/>
      <c r="ID138" s="10"/>
      <c r="IE138" s="10" t="s">
        <v>1</v>
      </c>
      <c r="IF138" s="10" t="s">
        <v>1</v>
      </c>
      <c r="IG138" s="10" t="s">
        <v>974</v>
      </c>
      <c r="IH138" s="11">
        <f t="shared" si="13"/>
        <v>138.375</v>
      </c>
      <c r="II138" s="10" t="s">
        <v>1</v>
      </c>
      <c r="IJ138" s="10" t="s">
        <v>1</v>
      </c>
      <c r="IK138" s="12" t="s">
        <v>976</v>
      </c>
      <c r="IL138" s="10">
        <f t="shared" si="14"/>
        <v>62.484999999999992</v>
      </c>
      <c r="IM138" s="10" t="s">
        <v>1</v>
      </c>
      <c r="IN138" s="10" t="s">
        <v>1</v>
      </c>
      <c r="IO138" s="10" t="s">
        <v>977</v>
      </c>
      <c r="IP138" s="10">
        <f t="shared" si="15"/>
        <v>125.95</v>
      </c>
      <c r="IQ138" t="s">
        <v>1</v>
      </c>
      <c r="IR138" t="s">
        <v>1</v>
      </c>
      <c r="IS138" t="s">
        <v>1</v>
      </c>
      <c r="IT138" t="s">
        <v>1</v>
      </c>
      <c r="IW138" t="s">
        <v>1</v>
      </c>
      <c r="IX138" t="s">
        <v>1</v>
      </c>
      <c r="IY138" t="s">
        <v>808</v>
      </c>
      <c r="IZ138">
        <v>2933.333333</v>
      </c>
      <c r="JA138" t="s">
        <v>1</v>
      </c>
      <c r="JB138" s="3" t="s">
        <v>1</v>
      </c>
      <c r="JC138" t="s">
        <v>1</v>
      </c>
      <c r="JD138" s="4" t="s">
        <v>1</v>
      </c>
      <c r="JE138" t="s">
        <v>810</v>
      </c>
      <c r="JF138">
        <v>100</v>
      </c>
      <c r="JR138" t="s">
        <v>1066</v>
      </c>
      <c r="JS138">
        <v>321.7</v>
      </c>
      <c r="JU138" t="s">
        <v>1</v>
      </c>
      <c r="JW138" t="s">
        <v>1</v>
      </c>
      <c r="JX138">
        <v>0</v>
      </c>
      <c r="JY138">
        <v>120</v>
      </c>
      <c r="JZ138" t="s">
        <v>800</v>
      </c>
      <c r="KA138" t="s">
        <v>155</v>
      </c>
      <c r="KB138" t="s">
        <v>738</v>
      </c>
      <c r="KC138" t="s">
        <v>1</v>
      </c>
      <c r="KD138" t="s">
        <v>1</v>
      </c>
      <c r="KE138" t="s">
        <v>1</v>
      </c>
      <c r="KF138" t="s">
        <v>1</v>
      </c>
      <c r="KG138" t="s">
        <v>1</v>
      </c>
      <c r="KH138" t="s">
        <v>1</v>
      </c>
      <c r="KI138" t="s">
        <v>1</v>
      </c>
      <c r="KJ138" t="s">
        <v>1</v>
      </c>
      <c r="KK138" t="s">
        <v>1</v>
      </c>
    </row>
    <row r="139" spans="1:297" x14ac:dyDescent="0.2">
      <c r="A139">
        <v>138</v>
      </c>
      <c r="B139" t="s">
        <v>705</v>
      </c>
      <c r="C139" t="s">
        <v>159</v>
      </c>
      <c r="D139" t="s">
        <v>153</v>
      </c>
      <c r="E139">
        <v>21</v>
      </c>
      <c r="F139" t="s">
        <v>154</v>
      </c>
      <c r="G139" t="s">
        <v>1</v>
      </c>
      <c r="H139" s="26" t="s">
        <v>1420</v>
      </c>
      <c r="I139" t="s">
        <v>1</v>
      </c>
      <c r="J139" t="s">
        <v>1</v>
      </c>
      <c r="K139" t="s">
        <v>1</v>
      </c>
      <c r="L139" t="s">
        <v>1</v>
      </c>
      <c r="M139" t="s">
        <v>1</v>
      </c>
      <c r="N139" t="s">
        <v>1</v>
      </c>
      <c r="O139" t="s">
        <v>1</v>
      </c>
      <c r="P139" t="s">
        <v>1</v>
      </c>
      <c r="Q139" t="s">
        <v>1</v>
      </c>
      <c r="R139" t="s">
        <v>1</v>
      </c>
      <c r="S139" t="s">
        <v>1</v>
      </c>
      <c r="T139" t="s">
        <v>1</v>
      </c>
      <c r="U139" t="s">
        <v>1</v>
      </c>
      <c r="V139" t="s">
        <v>1</v>
      </c>
      <c r="W139" t="s">
        <v>1</v>
      </c>
      <c r="X139" t="s">
        <v>1</v>
      </c>
      <c r="Y139" t="s">
        <v>1</v>
      </c>
      <c r="Z139" t="s">
        <v>1</v>
      </c>
      <c r="AA139" t="s">
        <v>1</v>
      </c>
      <c r="AB139" t="s">
        <v>1</v>
      </c>
      <c r="AC139" t="s">
        <v>1</v>
      </c>
      <c r="AD139" t="s">
        <v>1</v>
      </c>
      <c r="AE139" t="s">
        <v>1</v>
      </c>
      <c r="AF139" t="s">
        <v>1</v>
      </c>
      <c r="AG139" t="s">
        <v>1</v>
      </c>
      <c r="AH139" t="s">
        <v>1</v>
      </c>
      <c r="AI139" t="s">
        <v>1</v>
      </c>
      <c r="AJ139" t="s">
        <v>1</v>
      </c>
      <c r="AK139" t="s">
        <v>1</v>
      </c>
      <c r="AL139" t="s">
        <v>1</v>
      </c>
      <c r="AM139" t="s">
        <v>1</v>
      </c>
      <c r="AN139">
        <v>138</v>
      </c>
      <c r="AO139">
        <f t="shared" si="12"/>
        <v>138</v>
      </c>
      <c r="AP139">
        <f t="shared" si="10"/>
        <v>21</v>
      </c>
      <c r="AQ139">
        <f t="shared" si="11"/>
        <v>21</v>
      </c>
      <c r="AR139" s="26" t="s">
        <v>1355</v>
      </c>
      <c r="AS139" s="26" t="s">
        <v>1356</v>
      </c>
      <c r="AT139" t="s">
        <v>713</v>
      </c>
      <c r="AU139" t="s">
        <v>1</v>
      </c>
      <c r="AV139" t="s">
        <v>1</v>
      </c>
      <c r="AW139">
        <v>45.39</v>
      </c>
      <c r="AX139">
        <v>-93.89</v>
      </c>
      <c r="AY139" t="s">
        <v>737</v>
      </c>
      <c r="BA139" s="3">
        <v>4</v>
      </c>
      <c r="BB139" s="3"/>
      <c r="BC139" s="3"/>
      <c r="BD139" s="3"/>
      <c r="BE139" s="3"/>
      <c r="BF139">
        <v>1999</v>
      </c>
      <c r="BG139" s="24" t="s">
        <v>732</v>
      </c>
      <c r="BH139" s="24" t="s">
        <v>733</v>
      </c>
      <c r="BI139" s="24" t="s">
        <v>733</v>
      </c>
      <c r="BJ139" s="24" t="s">
        <v>732</v>
      </c>
      <c r="BK139" s="24" t="s">
        <v>733</v>
      </c>
      <c r="BL139" s="25" t="s">
        <v>733</v>
      </c>
      <c r="BM139" s="24" t="s">
        <v>733</v>
      </c>
      <c r="BN139" s="24" t="s">
        <v>732</v>
      </c>
      <c r="BO139" s="24" t="s">
        <v>733</v>
      </c>
      <c r="BP139" s="24" t="s">
        <v>733</v>
      </c>
      <c r="BQ139" s="24" t="s">
        <v>945</v>
      </c>
      <c r="BR139" s="24" t="s">
        <v>945</v>
      </c>
      <c r="BS139" s="25" t="s">
        <v>934</v>
      </c>
      <c r="BT139" s="24" t="s">
        <v>934</v>
      </c>
      <c r="BU139" s="24" t="s">
        <v>934</v>
      </c>
      <c r="BV139" s="24" t="s">
        <v>934</v>
      </c>
      <c r="BW139" s="24" t="s">
        <v>934</v>
      </c>
      <c r="BX139" s="24" t="s">
        <v>934</v>
      </c>
      <c r="BY139" s="25" t="s">
        <v>945</v>
      </c>
      <c r="BZ139" t="s">
        <v>22</v>
      </c>
      <c r="CB139" t="s">
        <v>1</v>
      </c>
      <c r="CC139" s="4">
        <f>AVERAGE(11.7,12,15.6)*1000</f>
        <v>13100</v>
      </c>
      <c r="CD139" s="4"/>
      <c r="CE139" s="4"/>
      <c r="CF139" t="s">
        <v>793</v>
      </c>
      <c r="CG139">
        <v>100</v>
      </c>
      <c r="CH139" t="s">
        <v>805</v>
      </c>
      <c r="CI139" s="28">
        <v>0.6</v>
      </c>
      <c r="CJ139" s="9" t="s">
        <v>1</v>
      </c>
      <c r="CK139" t="s">
        <v>807</v>
      </c>
      <c r="CL139" s="4">
        <f>AVERAGE(2,1.4,3.7)*1000</f>
        <v>2366.6666666666665</v>
      </c>
      <c r="CM139" t="s">
        <v>847</v>
      </c>
      <c r="CN139" s="4">
        <f>AVERAGE(206,195,294)</f>
        <v>231.66666666666666</v>
      </c>
      <c r="CO139" s="4"/>
      <c r="CP139" s="4" t="s">
        <v>1</v>
      </c>
      <c r="CQ139" s="4" t="s">
        <v>1</v>
      </c>
      <c r="CR139" s="4" t="s">
        <v>1</v>
      </c>
      <c r="CS139" s="4" t="s">
        <v>1</v>
      </c>
      <c r="CT139" s="4" t="s">
        <v>1</v>
      </c>
      <c r="CU139" s="4" t="s">
        <v>1</v>
      </c>
      <c r="CV139" t="s">
        <v>852</v>
      </c>
      <c r="CW139">
        <v>100</v>
      </c>
      <c r="CX139">
        <v>0</v>
      </c>
      <c r="CY139">
        <v>15</v>
      </c>
      <c r="CZ139" s="26" t="s">
        <v>1358</v>
      </c>
      <c r="DA139" t="s">
        <v>734</v>
      </c>
      <c r="DB139">
        <v>83</v>
      </c>
      <c r="DC139">
        <v>0</v>
      </c>
      <c r="DD139">
        <v>15</v>
      </c>
      <c r="DE139" s="26" t="s">
        <v>1358</v>
      </c>
      <c r="DF139" t="s">
        <v>735</v>
      </c>
      <c r="DG139">
        <v>9.5</v>
      </c>
      <c r="DH139">
        <v>0</v>
      </c>
      <c r="DI139">
        <v>15</v>
      </c>
      <c r="DJ139" s="26" t="s">
        <v>1358</v>
      </c>
      <c r="DK139" t="s">
        <v>736</v>
      </c>
      <c r="DL139">
        <v>7.5</v>
      </c>
      <c r="DM139">
        <v>0</v>
      </c>
      <c r="DN139">
        <v>15</v>
      </c>
      <c r="DO139" s="26" t="s">
        <v>1358</v>
      </c>
      <c r="DP139" t="s">
        <v>6</v>
      </c>
      <c r="DQ139" t="s">
        <v>1</v>
      </c>
      <c r="DR139">
        <v>6.6</v>
      </c>
      <c r="DS139">
        <v>0</v>
      </c>
      <c r="DT139">
        <v>15</v>
      </c>
      <c r="DU139" s="26" t="s">
        <v>1358</v>
      </c>
      <c r="EA139" t="s">
        <v>982</v>
      </c>
      <c r="EB139">
        <v>10.4</v>
      </c>
      <c r="EC139">
        <v>0</v>
      </c>
      <c r="ED139">
        <v>15</v>
      </c>
      <c r="EE139" s="26" t="s">
        <v>1358</v>
      </c>
      <c r="EF139" s="26"/>
      <c r="FZ139" t="s">
        <v>806</v>
      </c>
      <c r="GA139">
        <v>556.33333330000005</v>
      </c>
      <c r="GE139" s="26" t="s">
        <v>1358</v>
      </c>
      <c r="HA139" s="5" t="s">
        <v>1</v>
      </c>
      <c r="HB139" s="4" t="s">
        <v>1</v>
      </c>
      <c r="HC139" t="s">
        <v>1</v>
      </c>
      <c r="HD139" t="s">
        <v>1</v>
      </c>
      <c r="HE139" t="s">
        <v>1</v>
      </c>
      <c r="HF139" s="5" t="s">
        <v>1</v>
      </c>
      <c r="HG139" s="4" t="s">
        <v>1</v>
      </c>
      <c r="HH139" t="s">
        <v>1</v>
      </c>
      <c r="HI139" t="s">
        <v>1</v>
      </c>
      <c r="HJ139" t="s">
        <v>1</v>
      </c>
      <c r="HK139" t="s">
        <v>815</v>
      </c>
      <c r="HL139" s="35">
        <v>1.6</v>
      </c>
      <c r="HM139">
        <v>0</v>
      </c>
      <c r="HN139">
        <v>15</v>
      </c>
      <c r="HO139" t="s">
        <v>1451</v>
      </c>
      <c r="HP139" s="26" t="s">
        <v>1358</v>
      </c>
      <c r="HZ139" t="s">
        <v>1295</v>
      </c>
      <c r="IA139">
        <v>280</v>
      </c>
      <c r="IB139" s="10" t="s">
        <v>1</v>
      </c>
      <c r="IC139" s="10"/>
      <c r="ID139" s="10"/>
      <c r="IE139" s="5" t="s">
        <v>1312</v>
      </c>
      <c r="IF139" s="5" t="b">
        <v>1</v>
      </c>
      <c r="IG139" s="10" t="s">
        <v>974</v>
      </c>
      <c r="IH139" s="11">
        <f t="shared" si="13"/>
        <v>138.375</v>
      </c>
      <c r="II139" s="10" t="s">
        <v>1</v>
      </c>
      <c r="IJ139" s="10" t="s">
        <v>1</v>
      </c>
      <c r="IK139" s="12" t="s">
        <v>976</v>
      </c>
      <c r="IL139" s="10">
        <f t="shared" si="14"/>
        <v>62.484999999999992</v>
      </c>
      <c r="IM139" s="10" t="s">
        <v>1</v>
      </c>
      <c r="IN139" s="10" t="s">
        <v>1</v>
      </c>
      <c r="IO139" s="10" t="s">
        <v>977</v>
      </c>
      <c r="IP139" s="10">
        <f t="shared" si="15"/>
        <v>125.95</v>
      </c>
      <c r="IQ139" t="s">
        <v>1</v>
      </c>
      <c r="IR139" t="s">
        <v>1</v>
      </c>
      <c r="IS139" t="s">
        <v>1</v>
      </c>
      <c r="IT139" t="s">
        <v>1</v>
      </c>
      <c r="IW139" t="s">
        <v>1</v>
      </c>
      <c r="IX139" t="s">
        <v>1</v>
      </c>
      <c r="IY139" t="s">
        <v>808</v>
      </c>
      <c r="IZ139">
        <v>2933.333333</v>
      </c>
      <c r="JA139" t="s">
        <v>1</v>
      </c>
      <c r="JB139" s="3" t="s">
        <v>1</v>
      </c>
      <c r="JC139" t="s">
        <v>1</v>
      </c>
      <c r="JD139" s="4" t="s">
        <v>1</v>
      </c>
      <c r="JE139" t="s">
        <v>810</v>
      </c>
      <c r="JF139">
        <v>100</v>
      </c>
      <c r="JR139" t="s">
        <v>1066</v>
      </c>
      <c r="JS139">
        <v>190.3</v>
      </c>
      <c r="JU139" t="s">
        <v>1</v>
      </c>
      <c r="JW139" t="s">
        <v>1</v>
      </c>
      <c r="JX139">
        <v>0</v>
      </c>
      <c r="JY139">
        <v>120</v>
      </c>
      <c r="JZ139" t="s">
        <v>800</v>
      </c>
      <c r="KA139" t="s">
        <v>155</v>
      </c>
      <c r="KB139" t="s">
        <v>738</v>
      </c>
      <c r="KC139" t="s">
        <v>1</v>
      </c>
      <c r="KD139" t="s">
        <v>1</v>
      </c>
      <c r="KE139" t="s">
        <v>1</v>
      </c>
      <c r="KF139" t="s">
        <v>1</v>
      </c>
      <c r="KG139" t="s">
        <v>1</v>
      </c>
      <c r="KH139" t="s">
        <v>1</v>
      </c>
      <c r="KI139" t="s">
        <v>1</v>
      </c>
      <c r="KJ139" t="s">
        <v>1</v>
      </c>
      <c r="KK139" t="s">
        <v>1</v>
      </c>
    </row>
    <row r="140" spans="1:297" x14ac:dyDescent="0.2">
      <c r="A140">
        <v>139</v>
      </c>
      <c r="B140" t="s">
        <v>705</v>
      </c>
      <c r="C140" t="s">
        <v>135</v>
      </c>
      <c r="D140" t="s">
        <v>153</v>
      </c>
      <c r="E140">
        <v>21</v>
      </c>
      <c r="F140" t="s">
        <v>154</v>
      </c>
      <c r="G140" t="s">
        <v>1</v>
      </c>
      <c r="H140" s="26" t="s">
        <v>1420</v>
      </c>
      <c r="I140" t="s">
        <v>1</v>
      </c>
      <c r="J140" t="s">
        <v>1</v>
      </c>
      <c r="K140" t="s">
        <v>1</v>
      </c>
      <c r="L140" t="s">
        <v>1</v>
      </c>
      <c r="M140" t="s">
        <v>1</v>
      </c>
      <c r="N140" t="s">
        <v>1</v>
      </c>
      <c r="O140" t="s">
        <v>1</v>
      </c>
      <c r="P140" t="s">
        <v>1</v>
      </c>
      <c r="Q140" t="s">
        <v>1</v>
      </c>
      <c r="R140" t="s">
        <v>1</v>
      </c>
      <c r="S140" t="s">
        <v>1</v>
      </c>
      <c r="T140" t="s">
        <v>1</v>
      </c>
      <c r="U140" t="s">
        <v>1</v>
      </c>
      <c r="V140" t="s">
        <v>1</v>
      </c>
      <c r="W140" t="s">
        <v>1</v>
      </c>
      <c r="X140" t="s">
        <v>1</v>
      </c>
      <c r="Y140" t="s">
        <v>1</v>
      </c>
      <c r="Z140" t="s">
        <v>1</v>
      </c>
      <c r="AA140" t="s">
        <v>1</v>
      </c>
      <c r="AB140" t="s">
        <v>1</v>
      </c>
      <c r="AC140" t="s">
        <v>1</v>
      </c>
      <c r="AD140" t="s">
        <v>1</v>
      </c>
      <c r="AE140" t="s">
        <v>1</v>
      </c>
      <c r="AF140" t="s">
        <v>1</v>
      </c>
      <c r="AG140" t="s">
        <v>1</v>
      </c>
      <c r="AH140" t="s">
        <v>1</v>
      </c>
      <c r="AI140" t="s">
        <v>1</v>
      </c>
      <c r="AJ140" t="s">
        <v>1</v>
      </c>
      <c r="AK140" t="s">
        <v>1</v>
      </c>
      <c r="AL140" t="s">
        <v>1</v>
      </c>
      <c r="AM140" t="s">
        <v>1</v>
      </c>
      <c r="AN140">
        <v>139</v>
      </c>
      <c r="AO140">
        <f t="shared" si="12"/>
        <v>139</v>
      </c>
      <c r="AP140">
        <f t="shared" si="10"/>
        <v>21</v>
      </c>
      <c r="AQ140">
        <f t="shared" si="11"/>
        <v>21</v>
      </c>
      <c r="AR140" s="26" t="s">
        <v>1355</v>
      </c>
      <c r="AS140" s="26" t="s">
        <v>1356</v>
      </c>
      <c r="AT140" t="s">
        <v>713</v>
      </c>
      <c r="AU140" t="s">
        <v>1</v>
      </c>
      <c r="AV140" t="s">
        <v>1</v>
      </c>
      <c r="AW140">
        <v>45.39</v>
      </c>
      <c r="AX140">
        <v>-93.89</v>
      </c>
      <c r="AY140" t="s">
        <v>737</v>
      </c>
      <c r="BA140" s="3">
        <v>4</v>
      </c>
      <c r="BB140" s="3"/>
      <c r="BC140" s="3"/>
      <c r="BD140" s="3"/>
      <c r="BE140" s="3"/>
      <c r="BF140">
        <v>1999</v>
      </c>
      <c r="BG140" s="24" t="s">
        <v>732</v>
      </c>
      <c r="BH140" s="24" t="s">
        <v>733</v>
      </c>
      <c r="BI140" s="24" t="s">
        <v>733</v>
      </c>
      <c r="BJ140" s="24" t="s">
        <v>732</v>
      </c>
      <c r="BK140" s="24" t="s">
        <v>733</v>
      </c>
      <c r="BL140" s="25" t="s">
        <v>733</v>
      </c>
      <c r="BM140" s="24" t="s">
        <v>733</v>
      </c>
      <c r="BN140" s="24" t="s">
        <v>732</v>
      </c>
      <c r="BO140" s="24" t="s">
        <v>733</v>
      </c>
      <c r="BP140" s="24" t="s">
        <v>733</v>
      </c>
      <c r="BQ140" s="24" t="s">
        <v>945</v>
      </c>
      <c r="BR140" s="24" t="s">
        <v>945</v>
      </c>
      <c r="BS140" s="25" t="s">
        <v>934</v>
      </c>
      <c r="BT140" s="24" t="s">
        <v>934</v>
      </c>
      <c r="BU140" s="24" t="s">
        <v>934</v>
      </c>
      <c r="BV140" s="24" t="s">
        <v>934</v>
      </c>
      <c r="BW140" s="24" t="s">
        <v>934</v>
      </c>
      <c r="BX140" s="24" t="s">
        <v>934</v>
      </c>
      <c r="BY140" s="25" t="s">
        <v>945</v>
      </c>
      <c r="BZ140" t="s">
        <v>22</v>
      </c>
      <c r="CB140" t="s">
        <v>1</v>
      </c>
      <c r="CC140" s="4">
        <f>AVERAGE(9.1,12.9)*1000</f>
        <v>11000</v>
      </c>
      <c r="CD140" s="4"/>
      <c r="CE140" s="4"/>
      <c r="CF140" t="s">
        <v>793</v>
      </c>
      <c r="CG140">
        <v>100</v>
      </c>
      <c r="CH140" t="s">
        <v>805</v>
      </c>
      <c r="CI140" s="28">
        <v>0.6</v>
      </c>
      <c r="CJ140" s="9" t="s">
        <v>1</v>
      </c>
      <c r="CK140" t="s">
        <v>807</v>
      </c>
      <c r="CL140" s="4">
        <f>AVERAGE(0.4,1.3)*1000</f>
        <v>850.00000000000011</v>
      </c>
      <c r="CM140" t="s">
        <v>847</v>
      </c>
      <c r="CN140" s="4">
        <f>AVERAGE(88,120)</f>
        <v>104</v>
      </c>
      <c r="CO140" s="4"/>
      <c r="CP140" s="4" t="s">
        <v>1</v>
      </c>
      <c r="CQ140" s="4" t="s">
        <v>1</v>
      </c>
      <c r="CR140" s="4" t="s">
        <v>1</v>
      </c>
      <c r="CS140" s="4" t="s">
        <v>1</v>
      </c>
      <c r="CT140" s="4" t="s">
        <v>1</v>
      </c>
      <c r="CU140" s="4" t="s">
        <v>1</v>
      </c>
      <c r="CV140" t="s">
        <v>852</v>
      </c>
      <c r="CW140">
        <v>100</v>
      </c>
      <c r="CX140">
        <v>0</v>
      </c>
      <c r="CY140">
        <v>15</v>
      </c>
      <c r="CZ140" s="26" t="s">
        <v>1358</v>
      </c>
      <c r="DA140" t="s">
        <v>734</v>
      </c>
      <c r="DB140">
        <v>83</v>
      </c>
      <c r="DC140">
        <v>0</v>
      </c>
      <c r="DD140">
        <v>15</v>
      </c>
      <c r="DE140" s="26" t="s">
        <v>1358</v>
      </c>
      <c r="DF140" t="s">
        <v>735</v>
      </c>
      <c r="DG140">
        <v>9.5</v>
      </c>
      <c r="DH140">
        <v>0</v>
      </c>
      <c r="DI140">
        <v>15</v>
      </c>
      <c r="DJ140" s="26" t="s">
        <v>1358</v>
      </c>
      <c r="DK140" t="s">
        <v>736</v>
      </c>
      <c r="DL140">
        <v>7.5</v>
      </c>
      <c r="DM140">
        <v>0</v>
      </c>
      <c r="DN140">
        <v>15</v>
      </c>
      <c r="DO140" s="26" t="s">
        <v>1358</v>
      </c>
      <c r="DP140" t="s">
        <v>6</v>
      </c>
      <c r="DQ140" t="s">
        <v>1</v>
      </c>
      <c r="DR140">
        <v>6.6</v>
      </c>
      <c r="DS140">
        <v>0</v>
      </c>
      <c r="DT140">
        <v>15</v>
      </c>
      <c r="DU140" s="26" t="s">
        <v>1358</v>
      </c>
      <c r="EA140" t="s">
        <v>982</v>
      </c>
      <c r="EB140">
        <v>10.4</v>
      </c>
      <c r="EC140">
        <v>0</v>
      </c>
      <c r="ED140">
        <v>15</v>
      </c>
      <c r="EE140" s="26" t="s">
        <v>1358</v>
      </c>
      <c r="EF140" s="26"/>
      <c r="FZ140" t="s">
        <v>806</v>
      </c>
      <c r="GA140">
        <v>577.5</v>
      </c>
      <c r="GE140" s="26" t="s">
        <v>1358</v>
      </c>
      <c r="HA140" s="5" t="s">
        <v>1</v>
      </c>
      <c r="HB140" s="4" t="s">
        <v>1</v>
      </c>
      <c r="HC140" t="s">
        <v>1</v>
      </c>
      <c r="HD140" t="s">
        <v>1</v>
      </c>
      <c r="HE140" t="s">
        <v>1</v>
      </c>
      <c r="HF140" s="5" t="s">
        <v>1</v>
      </c>
      <c r="HG140" s="4" t="s">
        <v>1</v>
      </c>
      <c r="HH140" t="s">
        <v>1</v>
      </c>
      <c r="HI140" t="s">
        <v>1</v>
      </c>
      <c r="HJ140" t="s">
        <v>1</v>
      </c>
      <c r="HK140" t="s">
        <v>815</v>
      </c>
      <c r="HL140" s="35">
        <v>1.6</v>
      </c>
      <c r="HM140">
        <v>0</v>
      </c>
      <c r="HN140">
        <v>15</v>
      </c>
      <c r="HO140" t="s">
        <v>1451</v>
      </c>
      <c r="HP140" s="26" t="s">
        <v>1358</v>
      </c>
      <c r="HZ140" t="s">
        <v>1</v>
      </c>
      <c r="IA140" t="s">
        <v>1</v>
      </c>
      <c r="IB140" s="10" t="s">
        <v>1</v>
      </c>
      <c r="IC140" s="10"/>
      <c r="ID140" s="10"/>
      <c r="IE140" s="10" t="s">
        <v>1</v>
      </c>
      <c r="IF140" s="10" t="s">
        <v>1</v>
      </c>
      <c r="IG140" s="10" t="s">
        <v>974</v>
      </c>
      <c r="IH140" s="11">
        <f t="shared" si="13"/>
        <v>138.375</v>
      </c>
      <c r="II140" s="10" t="s">
        <v>1</v>
      </c>
      <c r="IJ140" s="10" t="s">
        <v>1</v>
      </c>
      <c r="IK140" s="12" t="s">
        <v>976</v>
      </c>
      <c r="IL140" s="10">
        <f t="shared" si="14"/>
        <v>62.484999999999992</v>
      </c>
      <c r="IM140" s="10" t="s">
        <v>1</v>
      </c>
      <c r="IN140" s="10" t="s">
        <v>1</v>
      </c>
      <c r="IO140" s="10" t="s">
        <v>977</v>
      </c>
      <c r="IP140" s="10">
        <f t="shared" si="15"/>
        <v>125.95</v>
      </c>
      <c r="IQ140" t="s">
        <v>1</v>
      </c>
      <c r="IR140" t="s">
        <v>1</v>
      </c>
      <c r="IS140" t="s">
        <v>1</v>
      </c>
      <c r="IT140" t="s">
        <v>1</v>
      </c>
      <c r="IW140" t="s">
        <v>1</v>
      </c>
      <c r="IX140" t="s">
        <v>1</v>
      </c>
      <c r="IY140" t="s">
        <v>808</v>
      </c>
      <c r="IZ140">
        <v>3055</v>
      </c>
      <c r="JA140" t="s">
        <v>1</v>
      </c>
      <c r="JB140" s="4" t="s">
        <v>1</v>
      </c>
      <c r="JC140" t="s">
        <v>1</v>
      </c>
      <c r="JD140" s="4" t="s">
        <v>1</v>
      </c>
      <c r="JE140" t="s">
        <v>810</v>
      </c>
      <c r="JF140">
        <v>100</v>
      </c>
      <c r="JR140" t="s">
        <v>1066</v>
      </c>
      <c r="JS140">
        <v>148.30000000000001</v>
      </c>
      <c r="JU140" t="s">
        <v>1</v>
      </c>
      <c r="JW140" t="s">
        <v>1</v>
      </c>
      <c r="JX140">
        <v>0</v>
      </c>
      <c r="JY140">
        <v>120</v>
      </c>
      <c r="JZ140" t="s">
        <v>800</v>
      </c>
      <c r="KA140" t="s">
        <v>155</v>
      </c>
      <c r="KB140" t="s">
        <v>738</v>
      </c>
      <c r="KC140" t="s">
        <v>1</v>
      </c>
      <c r="KD140" t="s">
        <v>1</v>
      </c>
      <c r="KE140" t="s">
        <v>1</v>
      </c>
      <c r="KF140" t="s">
        <v>1</v>
      </c>
      <c r="KG140" t="s">
        <v>1</v>
      </c>
      <c r="KH140" t="s">
        <v>1</v>
      </c>
      <c r="KI140" t="s">
        <v>1</v>
      </c>
      <c r="KJ140" t="s">
        <v>1</v>
      </c>
      <c r="KK140" t="s">
        <v>1</v>
      </c>
    </row>
    <row r="141" spans="1:297" x14ac:dyDescent="0.2">
      <c r="A141">
        <v>140</v>
      </c>
      <c r="B141" t="s">
        <v>705</v>
      </c>
      <c r="C141" t="s">
        <v>160</v>
      </c>
      <c r="D141" t="s">
        <v>153</v>
      </c>
      <c r="E141">
        <v>21</v>
      </c>
      <c r="F141" t="s">
        <v>154</v>
      </c>
      <c r="G141" t="s">
        <v>1</v>
      </c>
      <c r="H141" s="26" t="s">
        <v>1420</v>
      </c>
      <c r="I141" t="s">
        <v>1</v>
      </c>
      <c r="J141" t="s">
        <v>1</v>
      </c>
      <c r="K141" t="s">
        <v>1</v>
      </c>
      <c r="L141" t="s">
        <v>1</v>
      </c>
      <c r="M141" t="s">
        <v>1</v>
      </c>
      <c r="N141" t="s">
        <v>1</v>
      </c>
      <c r="O141" t="s">
        <v>1</v>
      </c>
      <c r="P141" t="s">
        <v>1</v>
      </c>
      <c r="Q141" t="s">
        <v>1</v>
      </c>
      <c r="R141" t="s">
        <v>1</v>
      </c>
      <c r="S141" t="s">
        <v>1</v>
      </c>
      <c r="T141" t="s">
        <v>1</v>
      </c>
      <c r="U141" t="s">
        <v>1</v>
      </c>
      <c r="V141" t="s">
        <v>1</v>
      </c>
      <c r="W141" t="s">
        <v>1</v>
      </c>
      <c r="X141" t="s">
        <v>1</v>
      </c>
      <c r="Y141" t="s">
        <v>1</v>
      </c>
      <c r="Z141" t="s">
        <v>1</v>
      </c>
      <c r="AA141" t="s">
        <v>1</v>
      </c>
      <c r="AB141" t="s">
        <v>1</v>
      </c>
      <c r="AC141" t="s">
        <v>1</v>
      </c>
      <c r="AD141" t="s">
        <v>1</v>
      </c>
      <c r="AE141" t="s">
        <v>1</v>
      </c>
      <c r="AF141" t="s">
        <v>1</v>
      </c>
      <c r="AG141" t="s">
        <v>1</v>
      </c>
      <c r="AH141" t="s">
        <v>1</v>
      </c>
      <c r="AI141" t="s">
        <v>1</v>
      </c>
      <c r="AJ141" t="s">
        <v>1</v>
      </c>
      <c r="AK141" t="s">
        <v>1</v>
      </c>
      <c r="AL141" t="s">
        <v>1</v>
      </c>
      <c r="AM141" t="s">
        <v>1</v>
      </c>
      <c r="AN141">
        <v>140</v>
      </c>
      <c r="AO141">
        <f t="shared" si="12"/>
        <v>140</v>
      </c>
      <c r="AP141">
        <f t="shared" si="10"/>
        <v>21</v>
      </c>
      <c r="AQ141">
        <f t="shared" si="11"/>
        <v>21</v>
      </c>
      <c r="AR141" s="26" t="s">
        <v>1355</v>
      </c>
      <c r="AS141" s="26" t="s">
        <v>1356</v>
      </c>
      <c r="AT141" t="s">
        <v>713</v>
      </c>
      <c r="AU141" t="s">
        <v>1</v>
      </c>
      <c r="AV141" t="s">
        <v>1</v>
      </c>
      <c r="AW141">
        <v>45.39</v>
      </c>
      <c r="AX141">
        <v>-93.89</v>
      </c>
      <c r="AY141" t="s">
        <v>737</v>
      </c>
      <c r="BA141" s="3">
        <v>4</v>
      </c>
      <c r="BB141" s="3"/>
      <c r="BC141" s="3"/>
      <c r="BD141" s="3"/>
      <c r="BE141" s="3"/>
      <c r="BF141">
        <v>1999</v>
      </c>
      <c r="BG141" s="24" t="s">
        <v>732</v>
      </c>
      <c r="BH141" s="24" t="s">
        <v>733</v>
      </c>
      <c r="BI141" s="24" t="s">
        <v>733</v>
      </c>
      <c r="BJ141" s="24" t="s">
        <v>732</v>
      </c>
      <c r="BK141" s="24" t="s">
        <v>733</v>
      </c>
      <c r="BL141" s="25" t="s">
        <v>733</v>
      </c>
      <c r="BM141" s="24" t="s">
        <v>733</v>
      </c>
      <c r="BN141" s="24" t="s">
        <v>732</v>
      </c>
      <c r="BO141" s="24" t="s">
        <v>733</v>
      </c>
      <c r="BP141" s="24" t="s">
        <v>733</v>
      </c>
      <c r="BQ141" s="24" t="s">
        <v>945</v>
      </c>
      <c r="BR141" s="24" t="s">
        <v>945</v>
      </c>
      <c r="BS141" s="25" t="s">
        <v>934</v>
      </c>
      <c r="BT141" s="24" t="s">
        <v>934</v>
      </c>
      <c r="BU141" s="24" t="s">
        <v>934</v>
      </c>
      <c r="BV141" s="24" t="s">
        <v>934</v>
      </c>
      <c r="BW141" s="24" t="s">
        <v>934</v>
      </c>
      <c r="BX141" s="24" t="s">
        <v>934</v>
      </c>
      <c r="BY141" s="25" t="s">
        <v>945</v>
      </c>
      <c r="BZ141" t="s">
        <v>22</v>
      </c>
      <c r="CB141" t="s">
        <v>1</v>
      </c>
      <c r="CC141" s="4">
        <f>AVERAGE(10.9,14.5)*1000</f>
        <v>12700</v>
      </c>
      <c r="CD141" s="4"/>
      <c r="CE141" s="4"/>
      <c r="CF141" t="s">
        <v>793</v>
      </c>
      <c r="CG141">
        <v>100</v>
      </c>
      <c r="CH141" t="s">
        <v>805</v>
      </c>
      <c r="CI141" s="28">
        <v>0.6</v>
      </c>
      <c r="CJ141" s="9" t="s">
        <v>1</v>
      </c>
      <c r="CK141" t="s">
        <v>807</v>
      </c>
      <c r="CL141" s="4">
        <f>AVERAGE(1.4,3.1)*1000</f>
        <v>2250</v>
      </c>
      <c r="CM141" t="s">
        <v>847</v>
      </c>
      <c r="CN141" s="4">
        <f>AVERAGE(174,259)</f>
        <v>216.5</v>
      </c>
      <c r="CO141" s="4"/>
      <c r="CP141" s="4" t="s">
        <v>1</v>
      </c>
      <c r="CQ141" s="4" t="s">
        <v>1</v>
      </c>
      <c r="CR141" s="4" t="s">
        <v>1</v>
      </c>
      <c r="CS141" s="4" t="s">
        <v>1</v>
      </c>
      <c r="CT141" s="4" t="s">
        <v>1</v>
      </c>
      <c r="CU141" s="4" t="s">
        <v>1</v>
      </c>
      <c r="CV141" t="s">
        <v>852</v>
      </c>
      <c r="CW141">
        <v>100</v>
      </c>
      <c r="CX141">
        <v>0</v>
      </c>
      <c r="CY141">
        <v>15</v>
      </c>
      <c r="CZ141" s="26" t="s">
        <v>1358</v>
      </c>
      <c r="DA141" t="s">
        <v>734</v>
      </c>
      <c r="DB141">
        <v>83</v>
      </c>
      <c r="DC141">
        <v>0</v>
      </c>
      <c r="DD141">
        <v>15</v>
      </c>
      <c r="DE141" s="26" t="s">
        <v>1358</v>
      </c>
      <c r="DF141" t="s">
        <v>735</v>
      </c>
      <c r="DG141">
        <v>9.5</v>
      </c>
      <c r="DH141">
        <v>0</v>
      </c>
      <c r="DI141">
        <v>15</v>
      </c>
      <c r="DJ141" s="26" t="s">
        <v>1358</v>
      </c>
      <c r="DK141" t="s">
        <v>736</v>
      </c>
      <c r="DL141">
        <v>7.5</v>
      </c>
      <c r="DM141">
        <v>0</v>
      </c>
      <c r="DN141">
        <v>15</v>
      </c>
      <c r="DO141" s="26" t="s">
        <v>1358</v>
      </c>
      <c r="DP141" t="s">
        <v>6</v>
      </c>
      <c r="DQ141" t="s">
        <v>1</v>
      </c>
      <c r="DR141">
        <v>6.6</v>
      </c>
      <c r="DS141">
        <v>0</v>
      </c>
      <c r="DT141">
        <v>15</v>
      </c>
      <c r="DU141" s="26" t="s">
        <v>1358</v>
      </c>
      <c r="EA141" t="s">
        <v>982</v>
      </c>
      <c r="EB141">
        <v>10.4</v>
      </c>
      <c r="EC141">
        <v>0</v>
      </c>
      <c r="ED141">
        <v>15</v>
      </c>
      <c r="EE141" s="26" t="s">
        <v>1358</v>
      </c>
      <c r="EF141" s="26"/>
      <c r="FZ141" t="s">
        <v>806</v>
      </c>
      <c r="GA141">
        <v>577.5</v>
      </c>
      <c r="GE141" s="26" t="s">
        <v>1358</v>
      </c>
      <c r="HA141" s="5" t="s">
        <v>1</v>
      </c>
      <c r="HB141" s="4" t="s">
        <v>1</v>
      </c>
      <c r="HC141" t="s">
        <v>1</v>
      </c>
      <c r="HD141" t="s">
        <v>1</v>
      </c>
      <c r="HE141" t="s">
        <v>1</v>
      </c>
      <c r="HF141" s="5" t="s">
        <v>1</v>
      </c>
      <c r="HG141" s="4" t="s">
        <v>1</v>
      </c>
      <c r="HH141" t="s">
        <v>1</v>
      </c>
      <c r="HI141" t="s">
        <v>1</v>
      </c>
      <c r="HJ141" t="s">
        <v>1</v>
      </c>
      <c r="HK141" t="s">
        <v>815</v>
      </c>
      <c r="HL141" s="35">
        <v>1.6</v>
      </c>
      <c r="HM141">
        <v>0</v>
      </c>
      <c r="HN141">
        <v>15</v>
      </c>
      <c r="HO141" t="s">
        <v>1451</v>
      </c>
      <c r="HP141" s="26" t="s">
        <v>1358</v>
      </c>
      <c r="HZ141" t="s">
        <v>969</v>
      </c>
      <c r="IA141">
        <v>280</v>
      </c>
      <c r="IB141" s="10" t="s">
        <v>1</v>
      </c>
      <c r="IC141" s="10"/>
      <c r="ID141" s="10"/>
      <c r="IE141" s="10" t="s">
        <v>1</v>
      </c>
      <c r="IF141" s="10" t="s">
        <v>1</v>
      </c>
      <c r="IG141" s="10" t="s">
        <v>974</v>
      </c>
      <c r="IH141" s="11">
        <f t="shared" si="13"/>
        <v>138.375</v>
      </c>
      <c r="II141" s="10" t="s">
        <v>1</v>
      </c>
      <c r="IJ141" s="10" t="s">
        <v>1</v>
      </c>
      <c r="IK141" s="12" t="s">
        <v>976</v>
      </c>
      <c r="IL141" s="10">
        <f t="shared" si="14"/>
        <v>62.484999999999992</v>
      </c>
      <c r="IM141" s="10" t="s">
        <v>1</v>
      </c>
      <c r="IN141" s="10" t="s">
        <v>1</v>
      </c>
      <c r="IO141" s="10" t="s">
        <v>977</v>
      </c>
      <c r="IP141" s="10">
        <f t="shared" si="15"/>
        <v>125.95</v>
      </c>
      <c r="IQ141" t="s">
        <v>1</v>
      </c>
      <c r="IR141" t="s">
        <v>1</v>
      </c>
      <c r="IS141" t="s">
        <v>1</v>
      </c>
      <c r="IT141" t="s">
        <v>1</v>
      </c>
      <c r="IW141" t="s">
        <v>1</v>
      </c>
      <c r="IX141" t="s">
        <v>1</v>
      </c>
      <c r="IY141" t="s">
        <v>808</v>
      </c>
      <c r="IZ141">
        <v>3055</v>
      </c>
      <c r="JA141" t="s">
        <v>1</v>
      </c>
      <c r="JB141" s="3" t="s">
        <v>1</v>
      </c>
      <c r="JC141" t="s">
        <v>1</v>
      </c>
      <c r="JD141" s="4" t="s">
        <v>1</v>
      </c>
      <c r="JE141" t="s">
        <v>810</v>
      </c>
      <c r="JF141">
        <v>100</v>
      </c>
      <c r="JR141" t="s">
        <v>1066</v>
      </c>
      <c r="JS141">
        <v>285.5</v>
      </c>
      <c r="JU141" t="s">
        <v>1</v>
      </c>
      <c r="JW141" t="s">
        <v>1</v>
      </c>
      <c r="JX141">
        <v>0</v>
      </c>
      <c r="JY141">
        <v>120</v>
      </c>
      <c r="JZ141" t="s">
        <v>800</v>
      </c>
      <c r="KA141" t="s">
        <v>155</v>
      </c>
      <c r="KB141" t="s">
        <v>738</v>
      </c>
      <c r="KC141" t="s">
        <v>1</v>
      </c>
      <c r="KD141" t="s">
        <v>1</v>
      </c>
      <c r="KE141" t="s">
        <v>1</v>
      </c>
      <c r="KF141" t="s">
        <v>1</v>
      </c>
      <c r="KG141" t="s">
        <v>1</v>
      </c>
      <c r="KH141" t="s">
        <v>1</v>
      </c>
      <c r="KI141" t="s">
        <v>1</v>
      </c>
      <c r="KJ141" t="s">
        <v>1</v>
      </c>
      <c r="KK141" t="s">
        <v>1</v>
      </c>
    </row>
    <row r="142" spans="1:297" x14ac:dyDescent="0.2">
      <c r="A142">
        <v>141</v>
      </c>
      <c r="B142" t="s">
        <v>705</v>
      </c>
      <c r="C142" t="s">
        <v>161</v>
      </c>
      <c r="D142" t="s">
        <v>153</v>
      </c>
      <c r="E142">
        <v>21</v>
      </c>
      <c r="F142" t="s">
        <v>154</v>
      </c>
      <c r="G142" t="s">
        <v>1</v>
      </c>
      <c r="H142" s="26" t="s">
        <v>1420</v>
      </c>
      <c r="I142" t="s">
        <v>1</v>
      </c>
      <c r="J142" t="s">
        <v>1</v>
      </c>
      <c r="K142" t="s">
        <v>1</v>
      </c>
      <c r="L142" t="s">
        <v>1</v>
      </c>
      <c r="M142" t="s">
        <v>1</v>
      </c>
      <c r="N142" t="s">
        <v>1</v>
      </c>
      <c r="O142" t="s">
        <v>1</v>
      </c>
      <c r="P142" t="s">
        <v>1</v>
      </c>
      <c r="Q142" t="s">
        <v>1</v>
      </c>
      <c r="R142" t="s">
        <v>1</v>
      </c>
      <c r="S142" t="s">
        <v>1</v>
      </c>
      <c r="T142" t="s">
        <v>1</v>
      </c>
      <c r="U142" t="s">
        <v>1</v>
      </c>
      <c r="V142" t="s">
        <v>1</v>
      </c>
      <c r="W142" t="s">
        <v>1</v>
      </c>
      <c r="X142" t="s">
        <v>1</v>
      </c>
      <c r="Y142" t="s">
        <v>1</v>
      </c>
      <c r="Z142" t="s">
        <v>1</v>
      </c>
      <c r="AA142" t="s">
        <v>1</v>
      </c>
      <c r="AB142" t="s">
        <v>1</v>
      </c>
      <c r="AC142" t="s">
        <v>1</v>
      </c>
      <c r="AD142" t="s">
        <v>1</v>
      </c>
      <c r="AE142" t="s">
        <v>1</v>
      </c>
      <c r="AF142" t="s">
        <v>1</v>
      </c>
      <c r="AG142" t="s">
        <v>1</v>
      </c>
      <c r="AH142" t="s">
        <v>1</v>
      </c>
      <c r="AI142" t="s">
        <v>1</v>
      </c>
      <c r="AJ142" t="s">
        <v>1</v>
      </c>
      <c r="AK142" t="s">
        <v>1</v>
      </c>
      <c r="AL142" t="s">
        <v>1</v>
      </c>
      <c r="AM142" t="s">
        <v>1</v>
      </c>
      <c r="AN142">
        <v>141</v>
      </c>
      <c r="AO142">
        <f t="shared" si="12"/>
        <v>141</v>
      </c>
      <c r="AP142">
        <f t="shared" si="10"/>
        <v>21</v>
      </c>
      <c r="AQ142">
        <f t="shared" si="11"/>
        <v>21</v>
      </c>
      <c r="AR142" s="26" t="s">
        <v>1355</v>
      </c>
      <c r="AS142" s="26" t="s">
        <v>1356</v>
      </c>
      <c r="AT142" t="s">
        <v>713</v>
      </c>
      <c r="AU142" t="s">
        <v>1</v>
      </c>
      <c r="AV142" t="s">
        <v>1</v>
      </c>
      <c r="AW142">
        <v>45.39</v>
      </c>
      <c r="AX142">
        <v>-93.89</v>
      </c>
      <c r="AY142" t="s">
        <v>737</v>
      </c>
      <c r="BA142" s="3">
        <v>4</v>
      </c>
      <c r="BB142" s="3"/>
      <c r="BC142" s="3"/>
      <c r="BD142" s="3"/>
      <c r="BE142" s="3"/>
      <c r="BF142">
        <v>1999</v>
      </c>
      <c r="BG142" s="24" t="s">
        <v>732</v>
      </c>
      <c r="BH142" s="24" t="s">
        <v>733</v>
      </c>
      <c r="BI142" s="24" t="s">
        <v>733</v>
      </c>
      <c r="BJ142" s="24" t="s">
        <v>732</v>
      </c>
      <c r="BK142" s="24" t="s">
        <v>733</v>
      </c>
      <c r="BL142" s="25" t="s">
        <v>733</v>
      </c>
      <c r="BM142" s="24" t="s">
        <v>733</v>
      </c>
      <c r="BN142" s="24" t="s">
        <v>732</v>
      </c>
      <c r="BO142" s="24" t="s">
        <v>733</v>
      </c>
      <c r="BP142" s="24" t="s">
        <v>733</v>
      </c>
      <c r="BQ142" s="24" t="s">
        <v>945</v>
      </c>
      <c r="BR142" s="24" t="s">
        <v>945</v>
      </c>
      <c r="BS142" s="25" t="s">
        <v>934</v>
      </c>
      <c r="BT142" s="24" t="s">
        <v>934</v>
      </c>
      <c r="BU142" s="24" t="s">
        <v>934</v>
      </c>
      <c r="BV142" s="24" t="s">
        <v>934</v>
      </c>
      <c r="BW142" s="24" t="s">
        <v>934</v>
      </c>
      <c r="BX142" s="24" t="s">
        <v>934</v>
      </c>
      <c r="BY142" s="25" t="s">
        <v>945</v>
      </c>
      <c r="BZ142" t="s">
        <v>22</v>
      </c>
      <c r="CB142" t="s">
        <v>1</v>
      </c>
      <c r="CC142" s="4">
        <f>11.4*1000</f>
        <v>11400</v>
      </c>
      <c r="CD142" s="4"/>
      <c r="CE142" s="4"/>
      <c r="CF142" t="s">
        <v>793</v>
      </c>
      <c r="CG142">
        <v>100</v>
      </c>
      <c r="CH142" t="s">
        <v>805</v>
      </c>
      <c r="CI142" s="28">
        <v>0.6</v>
      </c>
      <c r="CJ142" s="9" t="s">
        <v>1</v>
      </c>
      <c r="CK142" t="s">
        <v>807</v>
      </c>
      <c r="CL142" s="4">
        <f>1.3*1000</f>
        <v>1300</v>
      </c>
      <c r="CM142" t="s">
        <v>847</v>
      </c>
      <c r="CN142" s="4">
        <v>109</v>
      </c>
      <c r="CO142" s="4"/>
      <c r="CP142" s="4" t="s">
        <v>1</v>
      </c>
      <c r="CQ142" s="4" t="s">
        <v>1</v>
      </c>
      <c r="CR142" s="4" t="s">
        <v>1</v>
      </c>
      <c r="CS142" s="4" t="s">
        <v>1</v>
      </c>
      <c r="CT142" s="4" t="s">
        <v>1</v>
      </c>
      <c r="CU142" s="4" t="s">
        <v>1</v>
      </c>
      <c r="CV142" t="s">
        <v>852</v>
      </c>
      <c r="CW142">
        <v>100</v>
      </c>
      <c r="CX142">
        <v>0</v>
      </c>
      <c r="CY142">
        <v>15</v>
      </c>
      <c r="CZ142" s="26" t="s">
        <v>1358</v>
      </c>
      <c r="DA142" t="s">
        <v>734</v>
      </c>
      <c r="DB142">
        <v>83</v>
      </c>
      <c r="DC142">
        <v>0</v>
      </c>
      <c r="DD142">
        <v>15</v>
      </c>
      <c r="DE142" s="26" t="s">
        <v>1358</v>
      </c>
      <c r="DF142" t="s">
        <v>735</v>
      </c>
      <c r="DG142">
        <v>9.5</v>
      </c>
      <c r="DH142">
        <v>0</v>
      </c>
      <c r="DI142">
        <v>15</v>
      </c>
      <c r="DJ142" s="26" t="s">
        <v>1358</v>
      </c>
      <c r="DK142" t="s">
        <v>736</v>
      </c>
      <c r="DL142">
        <v>7.5</v>
      </c>
      <c r="DM142">
        <v>0</v>
      </c>
      <c r="DN142">
        <v>15</v>
      </c>
      <c r="DO142" s="26" t="s">
        <v>1358</v>
      </c>
      <c r="DP142" t="s">
        <v>6</v>
      </c>
      <c r="DQ142" t="s">
        <v>1</v>
      </c>
      <c r="DR142">
        <v>6.6</v>
      </c>
      <c r="DS142">
        <v>0</v>
      </c>
      <c r="DT142">
        <v>15</v>
      </c>
      <c r="DU142" s="26" t="s">
        <v>1358</v>
      </c>
      <c r="EA142" t="s">
        <v>982</v>
      </c>
      <c r="EB142">
        <v>10.4</v>
      </c>
      <c r="EC142">
        <v>0</v>
      </c>
      <c r="ED142">
        <v>15</v>
      </c>
      <c r="EE142" s="26" t="s">
        <v>1358</v>
      </c>
      <c r="EF142" s="26"/>
      <c r="FZ142" t="s">
        <v>806</v>
      </c>
      <c r="GA142">
        <v>693</v>
      </c>
      <c r="GE142" s="26" t="s">
        <v>1358</v>
      </c>
      <c r="HA142" s="5" t="s">
        <v>1</v>
      </c>
      <c r="HB142" s="4" t="s">
        <v>1</v>
      </c>
      <c r="HC142" t="s">
        <v>1</v>
      </c>
      <c r="HD142" t="s">
        <v>1</v>
      </c>
      <c r="HE142" t="s">
        <v>1</v>
      </c>
      <c r="HF142" s="5" t="s">
        <v>1</v>
      </c>
      <c r="HG142" s="4" t="s">
        <v>1</v>
      </c>
      <c r="HH142" t="s">
        <v>1</v>
      </c>
      <c r="HI142" t="s">
        <v>1</v>
      </c>
      <c r="HJ142" t="s">
        <v>1</v>
      </c>
      <c r="HK142" t="s">
        <v>815</v>
      </c>
      <c r="HL142" s="35">
        <v>1.6</v>
      </c>
      <c r="HM142">
        <v>0</v>
      </c>
      <c r="HN142">
        <v>15</v>
      </c>
      <c r="HO142" t="s">
        <v>1451</v>
      </c>
      <c r="HP142" s="26" t="s">
        <v>1358</v>
      </c>
      <c r="HZ142" t="s">
        <v>1</v>
      </c>
      <c r="IA142" t="s">
        <v>1</v>
      </c>
      <c r="IB142" s="10" t="s">
        <v>1</v>
      </c>
      <c r="IC142" s="10"/>
      <c r="ID142" s="10"/>
      <c r="IE142" s="10" t="s">
        <v>1</v>
      </c>
      <c r="IF142" s="10" t="s">
        <v>1</v>
      </c>
      <c r="IG142" s="10" t="s">
        <v>974</v>
      </c>
      <c r="IH142" s="11">
        <f t="shared" si="13"/>
        <v>138.375</v>
      </c>
      <c r="II142" s="10" t="s">
        <v>1</v>
      </c>
      <c r="IJ142" s="10" t="s">
        <v>1</v>
      </c>
      <c r="IK142" s="12" t="s">
        <v>976</v>
      </c>
      <c r="IL142" s="10">
        <f t="shared" si="14"/>
        <v>62.484999999999992</v>
      </c>
      <c r="IM142" s="10" t="s">
        <v>1</v>
      </c>
      <c r="IN142" s="10" t="s">
        <v>1</v>
      </c>
      <c r="IO142" s="10" t="s">
        <v>977</v>
      </c>
      <c r="IP142" s="10">
        <f t="shared" si="15"/>
        <v>125.95</v>
      </c>
      <c r="IQ142" t="s">
        <v>1</v>
      </c>
      <c r="IR142" t="s">
        <v>1</v>
      </c>
      <c r="IS142" t="s">
        <v>1</v>
      </c>
      <c r="IT142" t="s">
        <v>1</v>
      </c>
      <c r="IW142" t="s">
        <v>1</v>
      </c>
      <c r="IX142" t="s">
        <v>1</v>
      </c>
      <c r="IY142" t="s">
        <v>808</v>
      </c>
      <c r="IZ142">
        <v>4300</v>
      </c>
      <c r="JA142" t="s">
        <v>1</v>
      </c>
      <c r="JB142" s="4" t="s">
        <v>1</v>
      </c>
      <c r="JC142" t="s">
        <v>1</v>
      </c>
      <c r="JD142" s="4" t="s">
        <v>1</v>
      </c>
      <c r="JE142" t="s">
        <v>810</v>
      </c>
      <c r="JF142">
        <v>100</v>
      </c>
      <c r="JR142" t="s">
        <v>1066</v>
      </c>
      <c r="JS142">
        <v>301</v>
      </c>
      <c r="JU142" t="s">
        <v>1</v>
      </c>
      <c r="JW142" t="s">
        <v>1</v>
      </c>
      <c r="JX142">
        <v>0</v>
      </c>
      <c r="JY142">
        <v>120</v>
      </c>
      <c r="JZ142" t="s">
        <v>800</v>
      </c>
      <c r="KA142" t="s">
        <v>155</v>
      </c>
      <c r="KB142" t="s">
        <v>738</v>
      </c>
      <c r="KC142" t="s">
        <v>1</v>
      </c>
      <c r="KD142" t="s">
        <v>1</v>
      </c>
      <c r="KE142" t="s">
        <v>1</v>
      </c>
      <c r="KF142" t="s">
        <v>1</v>
      </c>
      <c r="KG142" t="s">
        <v>1</v>
      </c>
      <c r="KH142" t="s">
        <v>1</v>
      </c>
      <c r="KI142" t="s">
        <v>1</v>
      </c>
      <c r="KJ142" t="s">
        <v>1</v>
      </c>
      <c r="KK142" t="s">
        <v>1</v>
      </c>
    </row>
    <row r="143" spans="1:297" x14ac:dyDescent="0.2">
      <c r="A143">
        <v>142</v>
      </c>
      <c r="B143" t="s">
        <v>705</v>
      </c>
      <c r="C143" t="s">
        <v>162</v>
      </c>
      <c r="D143" t="s">
        <v>153</v>
      </c>
      <c r="E143">
        <v>21</v>
      </c>
      <c r="F143" t="s">
        <v>154</v>
      </c>
      <c r="G143" t="s">
        <v>1</v>
      </c>
      <c r="H143" s="26" t="s">
        <v>1420</v>
      </c>
      <c r="I143" t="s">
        <v>1</v>
      </c>
      <c r="J143" t="s">
        <v>1</v>
      </c>
      <c r="K143" t="s">
        <v>1</v>
      </c>
      <c r="L143" t="s">
        <v>1</v>
      </c>
      <c r="M143" t="s">
        <v>1</v>
      </c>
      <c r="N143" t="s">
        <v>1</v>
      </c>
      <c r="O143" t="s">
        <v>1</v>
      </c>
      <c r="P143" t="s">
        <v>1</v>
      </c>
      <c r="Q143" t="s">
        <v>1</v>
      </c>
      <c r="R143" t="s">
        <v>1</v>
      </c>
      <c r="S143" t="s">
        <v>1</v>
      </c>
      <c r="T143" t="s">
        <v>1</v>
      </c>
      <c r="U143" t="s">
        <v>1</v>
      </c>
      <c r="V143" t="s">
        <v>1</v>
      </c>
      <c r="W143" t="s">
        <v>1</v>
      </c>
      <c r="X143" t="s">
        <v>1</v>
      </c>
      <c r="Y143" t="s">
        <v>1</v>
      </c>
      <c r="Z143" t="s">
        <v>1</v>
      </c>
      <c r="AA143" t="s">
        <v>1</v>
      </c>
      <c r="AB143" t="s">
        <v>1</v>
      </c>
      <c r="AC143" t="s">
        <v>1</v>
      </c>
      <c r="AD143" t="s">
        <v>1</v>
      </c>
      <c r="AE143" t="s">
        <v>1</v>
      </c>
      <c r="AF143" t="s">
        <v>1</v>
      </c>
      <c r="AG143" t="s">
        <v>1</v>
      </c>
      <c r="AH143" t="s">
        <v>1</v>
      </c>
      <c r="AI143" t="s">
        <v>1</v>
      </c>
      <c r="AJ143" t="s">
        <v>1</v>
      </c>
      <c r="AK143" t="s">
        <v>1</v>
      </c>
      <c r="AL143" t="s">
        <v>1</v>
      </c>
      <c r="AM143" t="s">
        <v>1</v>
      </c>
      <c r="AN143">
        <v>142</v>
      </c>
      <c r="AO143">
        <f t="shared" si="12"/>
        <v>142</v>
      </c>
      <c r="AP143">
        <f t="shared" si="10"/>
        <v>21</v>
      </c>
      <c r="AQ143">
        <f t="shared" si="11"/>
        <v>21</v>
      </c>
      <c r="AR143" s="26" t="s">
        <v>1355</v>
      </c>
      <c r="AS143" s="26" t="s">
        <v>1356</v>
      </c>
      <c r="AT143" t="s">
        <v>713</v>
      </c>
      <c r="AU143" t="s">
        <v>1</v>
      </c>
      <c r="AV143" t="s">
        <v>1</v>
      </c>
      <c r="AW143">
        <v>45.39</v>
      </c>
      <c r="AX143">
        <v>-93.89</v>
      </c>
      <c r="AY143" t="s">
        <v>737</v>
      </c>
      <c r="BA143" s="3">
        <v>4</v>
      </c>
      <c r="BB143" s="3"/>
      <c r="BC143" s="3"/>
      <c r="BD143" s="3"/>
      <c r="BE143" s="3"/>
      <c r="BF143">
        <v>1999</v>
      </c>
      <c r="BG143" s="24" t="s">
        <v>732</v>
      </c>
      <c r="BH143" s="24" t="s">
        <v>733</v>
      </c>
      <c r="BI143" s="24" t="s">
        <v>733</v>
      </c>
      <c r="BJ143" s="24" t="s">
        <v>732</v>
      </c>
      <c r="BK143" s="24" t="s">
        <v>733</v>
      </c>
      <c r="BL143" s="25" t="s">
        <v>733</v>
      </c>
      <c r="BM143" s="24" t="s">
        <v>733</v>
      </c>
      <c r="BN143" s="24" t="s">
        <v>732</v>
      </c>
      <c r="BO143" s="24" t="s">
        <v>733</v>
      </c>
      <c r="BP143" s="24" t="s">
        <v>733</v>
      </c>
      <c r="BQ143" s="24" t="s">
        <v>945</v>
      </c>
      <c r="BR143" s="24" t="s">
        <v>945</v>
      </c>
      <c r="BS143" s="25" t="s">
        <v>934</v>
      </c>
      <c r="BT143" s="24" t="s">
        <v>934</v>
      </c>
      <c r="BU143" s="24" t="s">
        <v>934</v>
      </c>
      <c r="BV143" s="24" t="s">
        <v>934</v>
      </c>
      <c r="BW143" s="24" t="s">
        <v>934</v>
      </c>
      <c r="BX143" s="24" t="s">
        <v>934</v>
      </c>
      <c r="BY143" s="25" t="s">
        <v>945</v>
      </c>
      <c r="BZ143" t="s">
        <v>22</v>
      </c>
      <c r="CB143" t="s">
        <v>1</v>
      </c>
      <c r="CC143" s="4">
        <f>14.8*1000</f>
        <v>14800</v>
      </c>
      <c r="CD143" s="4"/>
      <c r="CE143" s="4"/>
      <c r="CF143" t="s">
        <v>793</v>
      </c>
      <c r="CG143">
        <v>100</v>
      </c>
      <c r="CH143" t="s">
        <v>805</v>
      </c>
      <c r="CI143" s="28">
        <v>0.6</v>
      </c>
      <c r="CJ143" s="9" t="s">
        <v>1</v>
      </c>
      <c r="CK143" t="s">
        <v>807</v>
      </c>
      <c r="CL143" s="4">
        <f>2.7*1000</f>
        <v>2700</v>
      </c>
      <c r="CM143" t="s">
        <v>847</v>
      </c>
      <c r="CN143" s="4">
        <v>207</v>
      </c>
      <c r="CO143" s="4"/>
      <c r="CP143" s="4" t="s">
        <v>1</v>
      </c>
      <c r="CQ143" s="4" t="s">
        <v>1</v>
      </c>
      <c r="CR143" s="4" t="s">
        <v>1</v>
      </c>
      <c r="CS143" s="4" t="s">
        <v>1</v>
      </c>
      <c r="CT143" s="4" t="s">
        <v>1</v>
      </c>
      <c r="CU143" s="4" t="s">
        <v>1</v>
      </c>
      <c r="CV143" t="s">
        <v>852</v>
      </c>
      <c r="CW143">
        <v>100</v>
      </c>
      <c r="CX143">
        <v>0</v>
      </c>
      <c r="CY143">
        <v>15</v>
      </c>
      <c r="CZ143" s="26" t="s">
        <v>1358</v>
      </c>
      <c r="DA143" t="s">
        <v>734</v>
      </c>
      <c r="DB143">
        <v>83</v>
      </c>
      <c r="DC143">
        <v>0</v>
      </c>
      <c r="DD143">
        <v>15</v>
      </c>
      <c r="DE143" s="26" t="s">
        <v>1358</v>
      </c>
      <c r="DF143" t="s">
        <v>735</v>
      </c>
      <c r="DG143">
        <v>9.5</v>
      </c>
      <c r="DH143">
        <v>0</v>
      </c>
      <c r="DI143">
        <v>15</v>
      </c>
      <c r="DJ143" s="26" t="s">
        <v>1358</v>
      </c>
      <c r="DK143" t="s">
        <v>736</v>
      </c>
      <c r="DL143">
        <v>7.5</v>
      </c>
      <c r="DM143">
        <v>0</v>
      </c>
      <c r="DN143">
        <v>15</v>
      </c>
      <c r="DO143" s="26" t="s">
        <v>1358</v>
      </c>
      <c r="DP143" t="s">
        <v>6</v>
      </c>
      <c r="DQ143" t="s">
        <v>1</v>
      </c>
      <c r="DR143">
        <v>6.6</v>
      </c>
      <c r="DS143">
        <v>0</v>
      </c>
      <c r="DT143">
        <v>15</v>
      </c>
      <c r="DU143" s="26" t="s">
        <v>1358</v>
      </c>
      <c r="EA143" t="s">
        <v>982</v>
      </c>
      <c r="EB143">
        <v>10.4</v>
      </c>
      <c r="EC143">
        <v>0</v>
      </c>
      <c r="ED143">
        <v>15</v>
      </c>
      <c r="EE143" s="26" t="s">
        <v>1358</v>
      </c>
      <c r="EF143" s="26"/>
      <c r="FZ143" t="s">
        <v>806</v>
      </c>
      <c r="GA143">
        <v>693</v>
      </c>
      <c r="GE143" s="26" t="s">
        <v>1358</v>
      </c>
      <c r="HA143" s="5" t="s">
        <v>1</v>
      </c>
      <c r="HB143" s="4" t="s">
        <v>1</v>
      </c>
      <c r="HC143" t="s">
        <v>1</v>
      </c>
      <c r="HD143" t="s">
        <v>1</v>
      </c>
      <c r="HE143" t="s">
        <v>1</v>
      </c>
      <c r="HF143" s="5" t="s">
        <v>1</v>
      </c>
      <c r="HG143" s="4" t="s">
        <v>1</v>
      </c>
      <c r="HH143" t="s">
        <v>1</v>
      </c>
      <c r="HI143" t="s">
        <v>1</v>
      </c>
      <c r="HJ143" t="s">
        <v>1</v>
      </c>
      <c r="HK143" t="s">
        <v>815</v>
      </c>
      <c r="HL143" s="35">
        <v>1.6</v>
      </c>
      <c r="HM143">
        <v>0</v>
      </c>
      <c r="HN143">
        <v>15</v>
      </c>
      <c r="HO143" t="s">
        <v>1451</v>
      </c>
      <c r="HP143" s="26" t="s">
        <v>1358</v>
      </c>
      <c r="HZ143" t="s">
        <v>969</v>
      </c>
      <c r="IA143">
        <v>140</v>
      </c>
      <c r="IB143" s="10" t="s">
        <v>1</v>
      </c>
      <c r="IC143" s="10"/>
      <c r="ID143" s="10"/>
      <c r="IE143" s="10" t="s">
        <v>1</v>
      </c>
      <c r="IF143" s="10" t="s">
        <v>1</v>
      </c>
      <c r="IG143" s="10" t="s">
        <v>974</v>
      </c>
      <c r="IH143" s="11">
        <f t="shared" si="13"/>
        <v>138.375</v>
      </c>
      <c r="II143" s="10" t="s">
        <v>1</v>
      </c>
      <c r="IJ143" s="10" t="s">
        <v>1</v>
      </c>
      <c r="IK143" s="12" t="s">
        <v>976</v>
      </c>
      <c r="IL143" s="10">
        <f t="shared" si="14"/>
        <v>62.484999999999992</v>
      </c>
      <c r="IM143" s="10" t="s">
        <v>1</v>
      </c>
      <c r="IN143" s="10" t="s">
        <v>1</v>
      </c>
      <c r="IO143" s="10" t="s">
        <v>977</v>
      </c>
      <c r="IP143" s="10">
        <f t="shared" si="15"/>
        <v>125.95</v>
      </c>
      <c r="IQ143" t="s">
        <v>1</v>
      </c>
      <c r="IR143" t="s">
        <v>1</v>
      </c>
      <c r="IS143" t="s">
        <v>1</v>
      </c>
      <c r="IT143" t="s">
        <v>1</v>
      </c>
      <c r="IW143" t="s">
        <v>1</v>
      </c>
      <c r="IX143" t="s">
        <v>1</v>
      </c>
      <c r="IY143" t="s">
        <v>808</v>
      </c>
      <c r="IZ143">
        <v>4300</v>
      </c>
      <c r="JA143" t="s">
        <v>1</v>
      </c>
      <c r="JB143" s="3" t="s">
        <v>1</v>
      </c>
      <c r="JC143" t="s">
        <v>1</v>
      </c>
      <c r="JD143" s="4" t="s">
        <v>1</v>
      </c>
      <c r="JE143" t="s">
        <v>810</v>
      </c>
      <c r="JF143">
        <v>100</v>
      </c>
      <c r="JR143" t="s">
        <v>1066</v>
      </c>
      <c r="JS143">
        <v>433.8</v>
      </c>
      <c r="JU143" t="s">
        <v>1</v>
      </c>
      <c r="JW143" t="s">
        <v>1</v>
      </c>
      <c r="JX143">
        <v>0</v>
      </c>
      <c r="JY143">
        <v>120</v>
      </c>
      <c r="JZ143" t="s">
        <v>800</v>
      </c>
      <c r="KA143" t="s">
        <v>155</v>
      </c>
      <c r="KB143" t="s">
        <v>738</v>
      </c>
      <c r="KC143" t="s">
        <v>1</v>
      </c>
      <c r="KD143" t="s">
        <v>1</v>
      </c>
      <c r="KE143" t="s">
        <v>1</v>
      </c>
      <c r="KF143" t="s">
        <v>1</v>
      </c>
      <c r="KG143" t="s">
        <v>1</v>
      </c>
      <c r="KH143" t="s">
        <v>1</v>
      </c>
      <c r="KI143" t="s">
        <v>1</v>
      </c>
      <c r="KJ143" t="s">
        <v>1</v>
      </c>
      <c r="KK143" t="s">
        <v>1</v>
      </c>
    </row>
    <row r="144" spans="1:297" x14ac:dyDescent="0.2">
      <c r="A144">
        <v>143</v>
      </c>
      <c r="B144" t="s">
        <v>705</v>
      </c>
      <c r="C144" t="s">
        <v>163</v>
      </c>
      <c r="D144" t="s">
        <v>153</v>
      </c>
      <c r="E144">
        <v>21</v>
      </c>
      <c r="F144" t="s">
        <v>154</v>
      </c>
      <c r="G144" t="s">
        <v>1</v>
      </c>
      <c r="H144" s="26" t="s">
        <v>1420</v>
      </c>
      <c r="I144" t="s">
        <v>1</v>
      </c>
      <c r="J144" t="s">
        <v>1</v>
      </c>
      <c r="K144" t="s">
        <v>1</v>
      </c>
      <c r="L144" t="s">
        <v>1</v>
      </c>
      <c r="M144" t="s">
        <v>1</v>
      </c>
      <c r="N144" t="s">
        <v>1</v>
      </c>
      <c r="O144" t="s">
        <v>1</v>
      </c>
      <c r="P144" t="s">
        <v>1</v>
      </c>
      <c r="Q144" t="s">
        <v>1</v>
      </c>
      <c r="R144" t="s">
        <v>1</v>
      </c>
      <c r="S144" t="s">
        <v>1</v>
      </c>
      <c r="T144" t="s">
        <v>1</v>
      </c>
      <c r="U144" t="s">
        <v>1</v>
      </c>
      <c r="V144" t="s">
        <v>1</v>
      </c>
      <c r="W144" t="s">
        <v>1</v>
      </c>
      <c r="X144" t="s">
        <v>1</v>
      </c>
      <c r="Y144" t="s">
        <v>1</v>
      </c>
      <c r="Z144" t="s">
        <v>1</v>
      </c>
      <c r="AA144" t="s">
        <v>1</v>
      </c>
      <c r="AB144" t="s">
        <v>1</v>
      </c>
      <c r="AC144" t="s">
        <v>1</v>
      </c>
      <c r="AD144" t="s">
        <v>1</v>
      </c>
      <c r="AE144" t="s">
        <v>1</v>
      </c>
      <c r="AF144" t="s">
        <v>1</v>
      </c>
      <c r="AG144" t="s">
        <v>1</v>
      </c>
      <c r="AH144" t="s">
        <v>1</v>
      </c>
      <c r="AI144" t="s">
        <v>1</v>
      </c>
      <c r="AJ144" t="s">
        <v>1</v>
      </c>
      <c r="AK144" t="s">
        <v>1</v>
      </c>
      <c r="AL144" t="s">
        <v>1</v>
      </c>
      <c r="AM144" t="s">
        <v>1</v>
      </c>
      <c r="AN144">
        <v>143</v>
      </c>
      <c r="AO144">
        <f t="shared" si="12"/>
        <v>143</v>
      </c>
      <c r="AP144">
        <f t="shared" si="10"/>
        <v>21</v>
      </c>
      <c r="AQ144">
        <f t="shared" si="11"/>
        <v>21</v>
      </c>
      <c r="AR144" s="26" t="s">
        <v>1355</v>
      </c>
      <c r="AS144" s="26" t="s">
        <v>1356</v>
      </c>
      <c r="AT144" t="s">
        <v>713</v>
      </c>
      <c r="AU144" t="s">
        <v>1</v>
      </c>
      <c r="AV144" t="s">
        <v>1</v>
      </c>
      <c r="AW144">
        <v>45.39</v>
      </c>
      <c r="AX144">
        <v>-93.89</v>
      </c>
      <c r="AY144" t="s">
        <v>737</v>
      </c>
      <c r="BA144" s="3">
        <v>4</v>
      </c>
      <c r="BB144" s="3"/>
      <c r="BC144" s="3"/>
      <c r="BD144" s="3"/>
      <c r="BE144" s="3"/>
      <c r="BF144">
        <v>1999</v>
      </c>
      <c r="BG144" s="24" t="s">
        <v>732</v>
      </c>
      <c r="BH144" s="24" t="s">
        <v>733</v>
      </c>
      <c r="BI144" s="24" t="s">
        <v>733</v>
      </c>
      <c r="BJ144" s="24" t="s">
        <v>732</v>
      </c>
      <c r="BK144" s="24" t="s">
        <v>733</v>
      </c>
      <c r="BL144" s="25" t="s">
        <v>733</v>
      </c>
      <c r="BM144" s="24" t="s">
        <v>733</v>
      </c>
      <c r="BN144" s="24" t="s">
        <v>732</v>
      </c>
      <c r="BO144" s="24" t="s">
        <v>733</v>
      </c>
      <c r="BP144" s="24" t="s">
        <v>733</v>
      </c>
      <c r="BQ144" s="24" t="s">
        <v>945</v>
      </c>
      <c r="BR144" s="24" t="s">
        <v>945</v>
      </c>
      <c r="BS144" s="25" t="s">
        <v>934</v>
      </c>
      <c r="BT144" s="24" t="s">
        <v>934</v>
      </c>
      <c r="BU144" s="24" t="s">
        <v>934</v>
      </c>
      <c r="BV144" s="24" t="s">
        <v>934</v>
      </c>
      <c r="BW144" s="24" t="s">
        <v>934</v>
      </c>
      <c r="BX144" s="24" t="s">
        <v>934</v>
      </c>
      <c r="BY144" s="25" t="s">
        <v>945</v>
      </c>
      <c r="BZ144" t="s">
        <v>22</v>
      </c>
      <c r="CB144" t="s">
        <v>1</v>
      </c>
      <c r="CC144" s="4">
        <f>16.1*1000</f>
        <v>16100.000000000002</v>
      </c>
      <c r="CD144" s="4"/>
      <c r="CE144" s="4"/>
      <c r="CF144" t="s">
        <v>793</v>
      </c>
      <c r="CG144">
        <v>100</v>
      </c>
      <c r="CH144" t="s">
        <v>805</v>
      </c>
      <c r="CI144" s="28">
        <v>0.6</v>
      </c>
      <c r="CJ144" s="9" t="s">
        <v>1</v>
      </c>
      <c r="CK144" t="s">
        <v>807</v>
      </c>
      <c r="CL144" s="4">
        <f>2.4*1000</f>
        <v>2400</v>
      </c>
      <c r="CM144" t="s">
        <v>847</v>
      </c>
      <c r="CN144" s="4">
        <v>217</v>
      </c>
      <c r="CO144" s="4"/>
      <c r="CP144" s="4" t="s">
        <v>1</v>
      </c>
      <c r="CQ144" s="4" t="s">
        <v>1</v>
      </c>
      <c r="CR144" s="4" t="s">
        <v>1</v>
      </c>
      <c r="CS144" s="4" t="s">
        <v>1</v>
      </c>
      <c r="CT144" s="4" t="s">
        <v>1</v>
      </c>
      <c r="CU144" s="4" t="s">
        <v>1</v>
      </c>
      <c r="CV144" t="s">
        <v>852</v>
      </c>
      <c r="CW144">
        <v>100</v>
      </c>
      <c r="CX144">
        <v>0</v>
      </c>
      <c r="CY144">
        <v>15</v>
      </c>
      <c r="CZ144" s="26" t="s">
        <v>1358</v>
      </c>
      <c r="DA144" t="s">
        <v>734</v>
      </c>
      <c r="DB144">
        <v>83</v>
      </c>
      <c r="DC144">
        <v>0</v>
      </c>
      <c r="DD144">
        <v>15</v>
      </c>
      <c r="DE144" s="26" t="s">
        <v>1358</v>
      </c>
      <c r="DF144" t="s">
        <v>735</v>
      </c>
      <c r="DG144">
        <v>9.5</v>
      </c>
      <c r="DH144">
        <v>0</v>
      </c>
      <c r="DI144">
        <v>15</v>
      </c>
      <c r="DJ144" s="26" t="s">
        <v>1358</v>
      </c>
      <c r="DK144" t="s">
        <v>736</v>
      </c>
      <c r="DL144">
        <v>7.5</v>
      </c>
      <c r="DM144">
        <v>0</v>
      </c>
      <c r="DN144">
        <v>15</v>
      </c>
      <c r="DO144" s="26" t="s">
        <v>1358</v>
      </c>
      <c r="DP144" t="s">
        <v>6</v>
      </c>
      <c r="DQ144" t="s">
        <v>1</v>
      </c>
      <c r="DR144">
        <v>6.6</v>
      </c>
      <c r="DS144">
        <v>0</v>
      </c>
      <c r="DT144">
        <v>15</v>
      </c>
      <c r="DU144" s="26" t="s">
        <v>1358</v>
      </c>
      <c r="EA144" t="s">
        <v>982</v>
      </c>
      <c r="EB144">
        <v>10.4</v>
      </c>
      <c r="EC144">
        <v>0</v>
      </c>
      <c r="ED144">
        <v>15</v>
      </c>
      <c r="EE144" s="26" t="s">
        <v>1358</v>
      </c>
      <c r="EF144" s="26"/>
      <c r="FZ144" t="s">
        <v>806</v>
      </c>
      <c r="GA144">
        <v>693</v>
      </c>
      <c r="GE144" s="26" t="s">
        <v>1358</v>
      </c>
      <c r="HA144" s="5" t="s">
        <v>1</v>
      </c>
      <c r="HB144" s="4" t="s">
        <v>1</v>
      </c>
      <c r="HC144" t="s">
        <v>1</v>
      </c>
      <c r="HD144" t="s">
        <v>1</v>
      </c>
      <c r="HE144" t="s">
        <v>1</v>
      </c>
      <c r="HF144" s="5" t="s">
        <v>1</v>
      </c>
      <c r="HG144" s="4" t="s">
        <v>1</v>
      </c>
      <c r="HH144" t="s">
        <v>1</v>
      </c>
      <c r="HI144" t="s">
        <v>1</v>
      </c>
      <c r="HJ144" t="s">
        <v>1</v>
      </c>
      <c r="HK144" t="s">
        <v>815</v>
      </c>
      <c r="HL144" s="35">
        <v>1.6</v>
      </c>
      <c r="HM144">
        <v>0</v>
      </c>
      <c r="HN144">
        <v>15</v>
      </c>
      <c r="HO144" t="s">
        <v>1451</v>
      </c>
      <c r="HP144" s="26" t="s">
        <v>1358</v>
      </c>
      <c r="HZ144" t="s">
        <v>1295</v>
      </c>
      <c r="IA144">
        <v>140</v>
      </c>
      <c r="IB144" s="10" t="s">
        <v>1</v>
      </c>
      <c r="IC144" s="10"/>
      <c r="ID144" s="10"/>
      <c r="IE144" s="5" t="s">
        <v>1312</v>
      </c>
      <c r="IF144" s="5" t="b">
        <v>1</v>
      </c>
      <c r="IG144" s="10" t="s">
        <v>974</v>
      </c>
      <c r="IH144" s="11">
        <f t="shared" si="13"/>
        <v>138.375</v>
      </c>
      <c r="II144" s="10" t="s">
        <v>1</v>
      </c>
      <c r="IJ144" s="10" t="s">
        <v>1</v>
      </c>
      <c r="IK144" s="12" t="s">
        <v>976</v>
      </c>
      <c r="IL144" s="10">
        <f t="shared" si="14"/>
        <v>62.484999999999992</v>
      </c>
      <c r="IM144" s="10" t="s">
        <v>1</v>
      </c>
      <c r="IN144" s="10" t="s">
        <v>1</v>
      </c>
      <c r="IO144" s="10" t="s">
        <v>977</v>
      </c>
      <c r="IP144" s="10">
        <f t="shared" si="15"/>
        <v>125.95</v>
      </c>
      <c r="IQ144" t="s">
        <v>1</v>
      </c>
      <c r="IR144" t="s">
        <v>1</v>
      </c>
      <c r="IS144" t="s">
        <v>1</v>
      </c>
      <c r="IT144" t="s">
        <v>1</v>
      </c>
      <c r="IW144" t="s">
        <v>1</v>
      </c>
      <c r="IX144" t="s">
        <v>1</v>
      </c>
      <c r="IY144" t="s">
        <v>808</v>
      </c>
      <c r="IZ144">
        <v>4300</v>
      </c>
      <c r="JA144" t="s">
        <v>1</v>
      </c>
      <c r="JB144" s="3" t="s">
        <v>1</v>
      </c>
      <c r="JC144" t="s">
        <v>1</v>
      </c>
      <c r="JD144" s="4" t="s">
        <v>1</v>
      </c>
      <c r="JE144" t="s">
        <v>810</v>
      </c>
      <c r="JF144">
        <v>100</v>
      </c>
      <c r="JR144" t="s">
        <v>1066</v>
      </c>
      <c r="JS144">
        <v>416.1</v>
      </c>
      <c r="JU144" t="s">
        <v>1</v>
      </c>
      <c r="JW144" t="s">
        <v>1</v>
      </c>
      <c r="JX144">
        <v>0</v>
      </c>
      <c r="JY144">
        <v>120</v>
      </c>
      <c r="JZ144" t="s">
        <v>800</v>
      </c>
      <c r="KA144" t="s">
        <v>155</v>
      </c>
      <c r="KB144" t="s">
        <v>738</v>
      </c>
      <c r="KC144" t="s">
        <v>1</v>
      </c>
      <c r="KD144" t="s">
        <v>1</v>
      </c>
      <c r="KE144" t="s">
        <v>1</v>
      </c>
      <c r="KF144" t="s">
        <v>1</v>
      </c>
      <c r="KG144" t="s">
        <v>1</v>
      </c>
      <c r="KH144" t="s">
        <v>1</v>
      </c>
      <c r="KI144" t="s">
        <v>1</v>
      </c>
      <c r="KJ144" t="s">
        <v>1</v>
      </c>
      <c r="KK144" t="s">
        <v>1</v>
      </c>
    </row>
    <row r="145" spans="1:297" x14ac:dyDescent="0.2">
      <c r="A145">
        <v>144</v>
      </c>
      <c r="B145" t="s">
        <v>705</v>
      </c>
      <c r="C145" t="s">
        <v>164</v>
      </c>
      <c r="D145" t="s">
        <v>153</v>
      </c>
      <c r="E145">
        <v>21</v>
      </c>
      <c r="F145" t="s">
        <v>154</v>
      </c>
      <c r="G145" t="s">
        <v>1</v>
      </c>
      <c r="H145" s="26" t="s">
        <v>1420</v>
      </c>
      <c r="I145" t="s">
        <v>1</v>
      </c>
      <c r="J145" t="s">
        <v>1</v>
      </c>
      <c r="K145" t="s">
        <v>1</v>
      </c>
      <c r="L145" t="s">
        <v>1</v>
      </c>
      <c r="M145" t="s">
        <v>1</v>
      </c>
      <c r="N145" t="s">
        <v>1</v>
      </c>
      <c r="O145" t="s">
        <v>1</v>
      </c>
      <c r="P145" t="s">
        <v>1</v>
      </c>
      <c r="Q145" t="s">
        <v>1</v>
      </c>
      <c r="R145" t="s">
        <v>1</v>
      </c>
      <c r="S145" t="s">
        <v>1</v>
      </c>
      <c r="T145" t="s">
        <v>1</v>
      </c>
      <c r="U145" t="s">
        <v>1</v>
      </c>
      <c r="V145" t="s">
        <v>1</v>
      </c>
      <c r="W145" t="s">
        <v>1</v>
      </c>
      <c r="X145" t="s">
        <v>1</v>
      </c>
      <c r="Y145" t="s">
        <v>1</v>
      </c>
      <c r="Z145" t="s">
        <v>1</v>
      </c>
      <c r="AA145" t="s">
        <v>1</v>
      </c>
      <c r="AB145" t="s">
        <v>1</v>
      </c>
      <c r="AC145" t="s">
        <v>1</v>
      </c>
      <c r="AD145" t="s">
        <v>1</v>
      </c>
      <c r="AE145" t="s">
        <v>1</v>
      </c>
      <c r="AF145" t="s">
        <v>1</v>
      </c>
      <c r="AG145" t="s">
        <v>1</v>
      </c>
      <c r="AH145" t="s">
        <v>1</v>
      </c>
      <c r="AI145" t="s">
        <v>1</v>
      </c>
      <c r="AJ145" t="s">
        <v>1</v>
      </c>
      <c r="AK145" t="s">
        <v>1</v>
      </c>
      <c r="AL145" t="s">
        <v>1</v>
      </c>
      <c r="AM145" t="s">
        <v>1</v>
      </c>
      <c r="AN145">
        <v>144</v>
      </c>
      <c r="AO145">
        <f t="shared" si="12"/>
        <v>144</v>
      </c>
      <c r="AP145">
        <f t="shared" si="10"/>
        <v>21</v>
      </c>
      <c r="AQ145">
        <f t="shared" si="11"/>
        <v>21</v>
      </c>
      <c r="AR145" s="26" t="s">
        <v>1355</v>
      </c>
      <c r="AS145" s="26" t="s">
        <v>1356</v>
      </c>
      <c r="AT145" t="s">
        <v>713</v>
      </c>
      <c r="AU145" t="s">
        <v>1</v>
      </c>
      <c r="AV145" t="s">
        <v>1</v>
      </c>
      <c r="AW145">
        <v>45.39</v>
      </c>
      <c r="AX145">
        <v>-93.89</v>
      </c>
      <c r="AY145" t="s">
        <v>737</v>
      </c>
      <c r="BA145" s="3">
        <v>4</v>
      </c>
      <c r="BB145" s="3"/>
      <c r="BC145" s="3"/>
      <c r="BD145" s="3"/>
      <c r="BE145" s="3"/>
      <c r="BF145">
        <v>1999</v>
      </c>
      <c r="BG145" s="24" t="s">
        <v>732</v>
      </c>
      <c r="BH145" s="24" t="s">
        <v>733</v>
      </c>
      <c r="BI145" s="24" t="s">
        <v>733</v>
      </c>
      <c r="BJ145" s="24" t="s">
        <v>732</v>
      </c>
      <c r="BK145" s="24" t="s">
        <v>733</v>
      </c>
      <c r="BL145" s="25" t="s">
        <v>733</v>
      </c>
      <c r="BM145" s="24" t="s">
        <v>733</v>
      </c>
      <c r="BN145" s="24" t="s">
        <v>732</v>
      </c>
      <c r="BO145" s="24" t="s">
        <v>733</v>
      </c>
      <c r="BP145" s="24" t="s">
        <v>733</v>
      </c>
      <c r="BQ145" s="24" t="s">
        <v>945</v>
      </c>
      <c r="BR145" s="24" t="s">
        <v>945</v>
      </c>
      <c r="BS145" s="25" t="s">
        <v>934</v>
      </c>
      <c r="BT145" s="24" t="s">
        <v>934</v>
      </c>
      <c r="BU145" s="24" t="s">
        <v>934</v>
      </c>
      <c r="BV145" s="24" t="s">
        <v>934</v>
      </c>
      <c r="BW145" s="24" t="s">
        <v>934</v>
      </c>
      <c r="BX145" s="24" t="s">
        <v>934</v>
      </c>
      <c r="BY145" s="25" t="s">
        <v>945</v>
      </c>
      <c r="BZ145" t="s">
        <v>22</v>
      </c>
      <c r="CB145" t="s">
        <v>1</v>
      </c>
      <c r="CC145" s="4">
        <f>15.5*1000</f>
        <v>15500</v>
      </c>
      <c r="CD145" s="4"/>
      <c r="CE145" s="4"/>
      <c r="CF145" t="s">
        <v>793</v>
      </c>
      <c r="CG145">
        <v>100</v>
      </c>
      <c r="CH145" t="s">
        <v>805</v>
      </c>
      <c r="CI145" s="28">
        <v>0.6</v>
      </c>
      <c r="CJ145" s="9" t="s">
        <v>1</v>
      </c>
      <c r="CK145" t="s">
        <v>807</v>
      </c>
      <c r="CL145" s="4">
        <f>2.8*1000</f>
        <v>2800</v>
      </c>
      <c r="CM145" t="s">
        <v>847</v>
      </c>
      <c r="CN145" s="4">
        <v>224</v>
      </c>
      <c r="CO145" s="4"/>
      <c r="CP145" s="4" t="s">
        <v>1</v>
      </c>
      <c r="CQ145" s="4" t="s">
        <v>1</v>
      </c>
      <c r="CR145" s="4" t="s">
        <v>1</v>
      </c>
      <c r="CS145" s="4" t="s">
        <v>1</v>
      </c>
      <c r="CT145" s="4" t="s">
        <v>1</v>
      </c>
      <c r="CU145" s="4" t="s">
        <v>1</v>
      </c>
      <c r="CV145" t="s">
        <v>852</v>
      </c>
      <c r="CW145">
        <v>100</v>
      </c>
      <c r="CX145">
        <v>0</v>
      </c>
      <c r="CY145">
        <v>15</v>
      </c>
      <c r="CZ145" s="26" t="s">
        <v>1358</v>
      </c>
      <c r="DA145" t="s">
        <v>734</v>
      </c>
      <c r="DB145">
        <v>83</v>
      </c>
      <c r="DC145">
        <v>0</v>
      </c>
      <c r="DD145">
        <v>15</v>
      </c>
      <c r="DE145" s="26" t="s">
        <v>1358</v>
      </c>
      <c r="DF145" t="s">
        <v>735</v>
      </c>
      <c r="DG145">
        <v>9.5</v>
      </c>
      <c r="DH145">
        <v>0</v>
      </c>
      <c r="DI145">
        <v>15</v>
      </c>
      <c r="DJ145" s="26" t="s">
        <v>1358</v>
      </c>
      <c r="DK145" t="s">
        <v>736</v>
      </c>
      <c r="DL145">
        <v>7.5</v>
      </c>
      <c r="DM145">
        <v>0</v>
      </c>
      <c r="DN145">
        <v>15</v>
      </c>
      <c r="DO145" s="26" t="s">
        <v>1358</v>
      </c>
      <c r="DP145" t="s">
        <v>6</v>
      </c>
      <c r="DQ145" t="s">
        <v>1</v>
      </c>
      <c r="DR145">
        <v>6.6</v>
      </c>
      <c r="DS145">
        <v>0</v>
      </c>
      <c r="DT145">
        <v>15</v>
      </c>
      <c r="DU145" s="26" t="s">
        <v>1358</v>
      </c>
      <c r="EA145" t="s">
        <v>982</v>
      </c>
      <c r="EB145">
        <v>10.4</v>
      </c>
      <c r="EC145">
        <v>0</v>
      </c>
      <c r="ED145">
        <v>15</v>
      </c>
      <c r="EE145" s="26" t="s">
        <v>1358</v>
      </c>
      <c r="EF145" s="26"/>
      <c r="FZ145" t="s">
        <v>806</v>
      </c>
      <c r="GA145">
        <v>693</v>
      </c>
      <c r="GE145" s="26" t="s">
        <v>1358</v>
      </c>
      <c r="HA145" s="5" t="s">
        <v>1</v>
      </c>
      <c r="HB145" s="4" t="s">
        <v>1</v>
      </c>
      <c r="HC145" t="s">
        <v>1</v>
      </c>
      <c r="HD145" t="s">
        <v>1</v>
      </c>
      <c r="HE145" t="s">
        <v>1</v>
      </c>
      <c r="HF145" s="5" t="s">
        <v>1</v>
      </c>
      <c r="HG145" s="4" t="s">
        <v>1</v>
      </c>
      <c r="HH145" t="s">
        <v>1</v>
      </c>
      <c r="HI145" t="s">
        <v>1</v>
      </c>
      <c r="HJ145" t="s">
        <v>1</v>
      </c>
      <c r="HK145" t="s">
        <v>815</v>
      </c>
      <c r="HL145" s="35">
        <v>1.6</v>
      </c>
      <c r="HM145">
        <v>0</v>
      </c>
      <c r="HN145">
        <v>15</v>
      </c>
      <c r="HO145" t="s">
        <v>1451</v>
      </c>
      <c r="HP145" s="26" t="s">
        <v>1358</v>
      </c>
      <c r="HZ145" t="s">
        <v>969</v>
      </c>
      <c r="IA145">
        <v>208</v>
      </c>
      <c r="IB145" s="10" t="s">
        <v>1</v>
      </c>
      <c r="IC145" s="10"/>
      <c r="ID145" s="10"/>
      <c r="IE145" s="10" t="s">
        <v>1</v>
      </c>
      <c r="IF145" s="10" t="s">
        <v>1</v>
      </c>
      <c r="IG145" s="10" t="s">
        <v>974</v>
      </c>
      <c r="IH145" s="11">
        <f t="shared" si="13"/>
        <v>138.375</v>
      </c>
      <c r="II145" s="10" t="s">
        <v>1</v>
      </c>
      <c r="IJ145" s="10" t="s">
        <v>1</v>
      </c>
      <c r="IK145" s="12" t="s">
        <v>976</v>
      </c>
      <c r="IL145" s="10">
        <f t="shared" si="14"/>
        <v>62.484999999999992</v>
      </c>
      <c r="IM145" s="10" t="s">
        <v>1</v>
      </c>
      <c r="IN145" s="10" t="s">
        <v>1</v>
      </c>
      <c r="IO145" s="10" t="s">
        <v>977</v>
      </c>
      <c r="IP145" s="10">
        <f t="shared" si="15"/>
        <v>125.95</v>
      </c>
      <c r="IQ145" t="s">
        <v>1</v>
      </c>
      <c r="IR145" t="s">
        <v>1</v>
      </c>
      <c r="IS145" t="s">
        <v>1</v>
      </c>
      <c r="IT145" t="s">
        <v>1</v>
      </c>
      <c r="IW145" t="s">
        <v>1</v>
      </c>
      <c r="IX145" t="s">
        <v>1</v>
      </c>
      <c r="IY145" t="s">
        <v>808</v>
      </c>
      <c r="IZ145">
        <v>4300</v>
      </c>
      <c r="JA145" t="s">
        <v>1</v>
      </c>
      <c r="JB145" s="3" t="s">
        <v>1</v>
      </c>
      <c r="JC145" t="s">
        <v>1</v>
      </c>
      <c r="JD145" s="4" t="s">
        <v>1</v>
      </c>
      <c r="JE145" t="s">
        <v>810</v>
      </c>
      <c r="JF145">
        <v>100</v>
      </c>
      <c r="JR145" t="s">
        <v>1066</v>
      </c>
      <c r="JS145">
        <v>1009.3</v>
      </c>
      <c r="JU145" t="s">
        <v>1</v>
      </c>
      <c r="JW145" t="s">
        <v>1</v>
      </c>
      <c r="JX145">
        <v>0</v>
      </c>
      <c r="JY145">
        <v>120</v>
      </c>
      <c r="JZ145" t="s">
        <v>800</v>
      </c>
      <c r="KA145" t="s">
        <v>155</v>
      </c>
      <c r="KB145" t="s">
        <v>738</v>
      </c>
      <c r="KC145" t="s">
        <v>1</v>
      </c>
      <c r="KD145" t="s">
        <v>1</v>
      </c>
      <c r="KE145" t="s">
        <v>1</v>
      </c>
      <c r="KF145" t="s">
        <v>1</v>
      </c>
      <c r="KG145" t="s">
        <v>1</v>
      </c>
      <c r="KH145" t="s">
        <v>1</v>
      </c>
      <c r="KI145" t="s">
        <v>1</v>
      </c>
      <c r="KJ145" t="s">
        <v>1</v>
      </c>
      <c r="KK145" t="s">
        <v>1</v>
      </c>
    </row>
    <row r="146" spans="1:297" x14ac:dyDescent="0.2">
      <c r="A146">
        <v>145</v>
      </c>
      <c r="B146" t="s">
        <v>705</v>
      </c>
      <c r="C146" t="s">
        <v>165</v>
      </c>
      <c r="D146" t="s">
        <v>153</v>
      </c>
      <c r="E146">
        <v>21</v>
      </c>
      <c r="F146" t="s">
        <v>154</v>
      </c>
      <c r="G146" t="s">
        <v>1</v>
      </c>
      <c r="H146" s="26" t="s">
        <v>1420</v>
      </c>
      <c r="I146" t="s">
        <v>1</v>
      </c>
      <c r="J146" t="s">
        <v>1</v>
      </c>
      <c r="K146" t="s">
        <v>1</v>
      </c>
      <c r="L146" t="s">
        <v>1</v>
      </c>
      <c r="M146" t="s">
        <v>1</v>
      </c>
      <c r="N146" t="s">
        <v>1</v>
      </c>
      <c r="O146" t="s">
        <v>1</v>
      </c>
      <c r="P146" t="s">
        <v>1</v>
      </c>
      <c r="Q146" t="s">
        <v>1</v>
      </c>
      <c r="R146" t="s">
        <v>1</v>
      </c>
      <c r="S146" t="s">
        <v>1</v>
      </c>
      <c r="T146" t="s">
        <v>1</v>
      </c>
      <c r="U146" t="s">
        <v>1</v>
      </c>
      <c r="V146" t="s">
        <v>1</v>
      </c>
      <c r="W146" t="s">
        <v>1</v>
      </c>
      <c r="X146" t="s">
        <v>1</v>
      </c>
      <c r="Y146" t="s">
        <v>1</v>
      </c>
      <c r="Z146" t="s">
        <v>1</v>
      </c>
      <c r="AA146" t="s">
        <v>1</v>
      </c>
      <c r="AB146" t="s">
        <v>1</v>
      </c>
      <c r="AC146" t="s">
        <v>1</v>
      </c>
      <c r="AD146" t="s">
        <v>1</v>
      </c>
      <c r="AE146" t="s">
        <v>1</v>
      </c>
      <c r="AF146" t="s">
        <v>1</v>
      </c>
      <c r="AG146" t="s">
        <v>1</v>
      </c>
      <c r="AH146" t="s">
        <v>1</v>
      </c>
      <c r="AI146" t="s">
        <v>1</v>
      </c>
      <c r="AJ146" t="s">
        <v>1</v>
      </c>
      <c r="AK146" t="s">
        <v>1</v>
      </c>
      <c r="AL146" t="s">
        <v>1</v>
      </c>
      <c r="AM146" t="s">
        <v>1</v>
      </c>
      <c r="AN146">
        <v>145</v>
      </c>
      <c r="AO146">
        <f t="shared" si="12"/>
        <v>145</v>
      </c>
      <c r="AP146">
        <f t="shared" si="10"/>
        <v>21</v>
      </c>
      <c r="AQ146">
        <f t="shared" si="11"/>
        <v>21</v>
      </c>
      <c r="AR146" s="26" t="s">
        <v>1355</v>
      </c>
      <c r="AS146" s="26" t="s">
        <v>1356</v>
      </c>
      <c r="AT146" t="s">
        <v>713</v>
      </c>
      <c r="AU146" t="s">
        <v>1</v>
      </c>
      <c r="AV146" t="s">
        <v>1</v>
      </c>
      <c r="AW146">
        <v>45.39</v>
      </c>
      <c r="AX146">
        <v>-93.89</v>
      </c>
      <c r="AY146" t="s">
        <v>737</v>
      </c>
      <c r="BA146" s="3">
        <v>4</v>
      </c>
      <c r="BB146" s="3"/>
      <c r="BC146" s="3"/>
      <c r="BD146" s="3"/>
      <c r="BE146" s="3"/>
      <c r="BF146">
        <v>1999</v>
      </c>
      <c r="BG146" s="24" t="s">
        <v>732</v>
      </c>
      <c r="BH146" s="24" t="s">
        <v>733</v>
      </c>
      <c r="BI146" s="24" t="s">
        <v>733</v>
      </c>
      <c r="BJ146" s="24" t="s">
        <v>732</v>
      </c>
      <c r="BK146" s="24" t="s">
        <v>733</v>
      </c>
      <c r="BL146" s="25" t="s">
        <v>733</v>
      </c>
      <c r="BM146" s="24" t="s">
        <v>733</v>
      </c>
      <c r="BN146" s="24" t="s">
        <v>732</v>
      </c>
      <c r="BO146" s="24" t="s">
        <v>733</v>
      </c>
      <c r="BP146" s="24" t="s">
        <v>733</v>
      </c>
      <c r="BQ146" s="24" t="s">
        <v>945</v>
      </c>
      <c r="BR146" s="24" t="s">
        <v>945</v>
      </c>
      <c r="BS146" s="25" t="s">
        <v>934</v>
      </c>
      <c r="BT146" s="24" t="s">
        <v>934</v>
      </c>
      <c r="BU146" s="24" t="s">
        <v>934</v>
      </c>
      <c r="BV146" s="24" t="s">
        <v>934</v>
      </c>
      <c r="BW146" s="24" t="s">
        <v>934</v>
      </c>
      <c r="BX146" s="24" t="s">
        <v>934</v>
      </c>
      <c r="BY146" s="25" t="s">
        <v>945</v>
      </c>
      <c r="BZ146" t="s">
        <v>22</v>
      </c>
      <c r="CB146" t="s">
        <v>1</v>
      </c>
      <c r="CC146" s="4">
        <f>17*1000</f>
        <v>17000</v>
      </c>
      <c r="CD146" s="4"/>
      <c r="CE146" s="4"/>
      <c r="CF146" t="s">
        <v>793</v>
      </c>
      <c r="CG146">
        <v>100</v>
      </c>
      <c r="CH146" t="s">
        <v>805</v>
      </c>
      <c r="CI146" s="28">
        <v>0.6</v>
      </c>
      <c r="CJ146" s="9" t="s">
        <v>1</v>
      </c>
      <c r="CK146" t="s">
        <v>807</v>
      </c>
      <c r="CL146" s="4">
        <f>3.7*1000</f>
        <v>3700</v>
      </c>
      <c r="CM146" t="s">
        <v>847</v>
      </c>
      <c r="CN146" s="4">
        <v>277</v>
      </c>
      <c r="CO146" s="4"/>
      <c r="CP146" s="4" t="s">
        <v>1</v>
      </c>
      <c r="CQ146" s="4" t="s">
        <v>1</v>
      </c>
      <c r="CR146" s="4" t="s">
        <v>1</v>
      </c>
      <c r="CS146" s="4" t="s">
        <v>1</v>
      </c>
      <c r="CT146" s="4" t="s">
        <v>1</v>
      </c>
      <c r="CU146" s="4" t="s">
        <v>1</v>
      </c>
      <c r="CV146" t="s">
        <v>852</v>
      </c>
      <c r="CW146">
        <v>100</v>
      </c>
      <c r="CX146">
        <v>0</v>
      </c>
      <c r="CY146">
        <v>15</v>
      </c>
      <c r="CZ146" s="26" t="s">
        <v>1358</v>
      </c>
      <c r="DA146" t="s">
        <v>734</v>
      </c>
      <c r="DB146">
        <v>83</v>
      </c>
      <c r="DC146">
        <v>0</v>
      </c>
      <c r="DD146">
        <v>15</v>
      </c>
      <c r="DE146" s="26" t="s">
        <v>1358</v>
      </c>
      <c r="DF146" t="s">
        <v>735</v>
      </c>
      <c r="DG146">
        <v>9.5</v>
      </c>
      <c r="DH146">
        <v>0</v>
      </c>
      <c r="DI146">
        <v>15</v>
      </c>
      <c r="DJ146" s="26" t="s">
        <v>1358</v>
      </c>
      <c r="DK146" t="s">
        <v>736</v>
      </c>
      <c r="DL146">
        <v>7.5</v>
      </c>
      <c r="DM146">
        <v>0</v>
      </c>
      <c r="DN146">
        <v>15</v>
      </c>
      <c r="DO146" s="26" t="s">
        <v>1358</v>
      </c>
      <c r="DP146" t="s">
        <v>6</v>
      </c>
      <c r="DQ146" t="s">
        <v>1</v>
      </c>
      <c r="DR146">
        <v>6.6</v>
      </c>
      <c r="DS146">
        <v>0</v>
      </c>
      <c r="DT146">
        <v>15</v>
      </c>
      <c r="DU146" s="26" t="s">
        <v>1358</v>
      </c>
      <c r="EA146" t="s">
        <v>982</v>
      </c>
      <c r="EB146">
        <v>10.4</v>
      </c>
      <c r="EC146">
        <v>0</v>
      </c>
      <c r="ED146">
        <v>15</v>
      </c>
      <c r="EE146" s="26" t="s">
        <v>1358</v>
      </c>
      <c r="EF146" s="26"/>
      <c r="FZ146" t="s">
        <v>806</v>
      </c>
      <c r="GA146">
        <v>693</v>
      </c>
      <c r="GE146" s="26" t="s">
        <v>1358</v>
      </c>
      <c r="HA146" s="5" t="s">
        <v>1</v>
      </c>
      <c r="HB146" s="4" t="s">
        <v>1</v>
      </c>
      <c r="HC146" t="s">
        <v>1</v>
      </c>
      <c r="HD146" t="s">
        <v>1</v>
      </c>
      <c r="HE146" t="s">
        <v>1</v>
      </c>
      <c r="HF146" s="5" t="s">
        <v>1</v>
      </c>
      <c r="HG146" s="4" t="s">
        <v>1</v>
      </c>
      <c r="HH146" t="s">
        <v>1</v>
      </c>
      <c r="HI146" t="s">
        <v>1</v>
      </c>
      <c r="HJ146" t="s">
        <v>1</v>
      </c>
      <c r="HK146" t="s">
        <v>815</v>
      </c>
      <c r="HL146" s="35">
        <v>1.6</v>
      </c>
      <c r="HM146">
        <v>0</v>
      </c>
      <c r="HN146">
        <v>15</v>
      </c>
      <c r="HO146" t="s">
        <v>1451</v>
      </c>
      <c r="HP146" s="26" t="s">
        <v>1358</v>
      </c>
      <c r="HZ146" t="s">
        <v>1295</v>
      </c>
      <c r="IA146">
        <v>280</v>
      </c>
      <c r="IB146" s="10" t="s">
        <v>1</v>
      </c>
      <c r="IC146" s="10"/>
      <c r="ID146" s="10"/>
      <c r="IE146" s="5" t="s">
        <v>1312</v>
      </c>
      <c r="IF146" s="5" t="b">
        <v>1</v>
      </c>
      <c r="IG146" s="10" t="s">
        <v>974</v>
      </c>
      <c r="IH146" s="11">
        <f t="shared" si="13"/>
        <v>138.375</v>
      </c>
      <c r="II146" s="10" t="s">
        <v>1</v>
      </c>
      <c r="IJ146" s="10" t="s">
        <v>1</v>
      </c>
      <c r="IK146" s="12" t="s">
        <v>976</v>
      </c>
      <c r="IL146" s="10">
        <f t="shared" si="14"/>
        <v>62.484999999999992</v>
      </c>
      <c r="IM146" s="10" t="s">
        <v>1</v>
      </c>
      <c r="IN146" s="10" t="s">
        <v>1</v>
      </c>
      <c r="IO146" s="10" t="s">
        <v>977</v>
      </c>
      <c r="IP146" s="10">
        <f t="shared" si="15"/>
        <v>125.95</v>
      </c>
      <c r="IQ146" t="s">
        <v>1</v>
      </c>
      <c r="IR146" t="s">
        <v>1</v>
      </c>
      <c r="IS146" t="s">
        <v>1</v>
      </c>
      <c r="IT146" t="s">
        <v>1</v>
      </c>
      <c r="IW146" t="s">
        <v>1</v>
      </c>
      <c r="IX146" t="s">
        <v>1</v>
      </c>
      <c r="IY146" t="s">
        <v>808</v>
      </c>
      <c r="IZ146">
        <v>4300</v>
      </c>
      <c r="JA146" t="s">
        <v>1</v>
      </c>
      <c r="JB146" s="3" t="s">
        <v>1</v>
      </c>
      <c r="JC146" t="s">
        <v>1</v>
      </c>
      <c r="JD146" s="4" t="s">
        <v>1</v>
      </c>
      <c r="JE146" t="s">
        <v>810</v>
      </c>
      <c r="JF146">
        <v>100</v>
      </c>
      <c r="JR146" t="s">
        <v>1066</v>
      </c>
      <c r="JS146">
        <v>633</v>
      </c>
      <c r="JU146" t="s">
        <v>1</v>
      </c>
      <c r="JW146" t="s">
        <v>1</v>
      </c>
      <c r="JX146">
        <v>0</v>
      </c>
      <c r="JY146">
        <v>120</v>
      </c>
      <c r="JZ146" t="s">
        <v>800</v>
      </c>
      <c r="KA146" t="s">
        <v>155</v>
      </c>
      <c r="KB146" t="s">
        <v>738</v>
      </c>
      <c r="KC146" t="s">
        <v>1</v>
      </c>
      <c r="KD146" t="s">
        <v>1</v>
      </c>
      <c r="KE146" t="s">
        <v>1</v>
      </c>
      <c r="KF146" t="s">
        <v>1</v>
      </c>
      <c r="KG146" t="s">
        <v>1</v>
      </c>
      <c r="KH146" t="s">
        <v>1</v>
      </c>
      <c r="KI146" t="s">
        <v>1</v>
      </c>
      <c r="KJ146" t="s">
        <v>1</v>
      </c>
      <c r="KK146" t="s">
        <v>1</v>
      </c>
    </row>
    <row r="147" spans="1:297" x14ac:dyDescent="0.2">
      <c r="A147">
        <v>146</v>
      </c>
      <c r="B147" t="s">
        <v>705</v>
      </c>
      <c r="C147" t="s">
        <v>166</v>
      </c>
      <c r="D147" t="s">
        <v>153</v>
      </c>
      <c r="E147">
        <v>21</v>
      </c>
      <c r="F147" t="s">
        <v>154</v>
      </c>
      <c r="G147" t="s">
        <v>1</v>
      </c>
      <c r="H147" s="26" t="s">
        <v>1420</v>
      </c>
      <c r="I147" t="s">
        <v>1</v>
      </c>
      <c r="J147" t="s">
        <v>1</v>
      </c>
      <c r="K147" t="s">
        <v>1</v>
      </c>
      <c r="L147" t="s">
        <v>1</v>
      </c>
      <c r="M147" t="s">
        <v>1</v>
      </c>
      <c r="N147" t="s">
        <v>1</v>
      </c>
      <c r="O147" t="s">
        <v>1</v>
      </c>
      <c r="P147" t="s">
        <v>1</v>
      </c>
      <c r="Q147" t="s">
        <v>1</v>
      </c>
      <c r="R147" t="s">
        <v>1</v>
      </c>
      <c r="S147" t="s">
        <v>1</v>
      </c>
      <c r="T147" t="s">
        <v>1</v>
      </c>
      <c r="U147" t="s">
        <v>1</v>
      </c>
      <c r="V147" t="s">
        <v>1</v>
      </c>
      <c r="W147" t="s">
        <v>1</v>
      </c>
      <c r="X147" t="s">
        <v>1</v>
      </c>
      <c r="Y147" t="s">
        <v>1</v>
      </c>
      <c r="Z147" t="s">
        <v>1</v>
      </c>
      <c r="AA147" t="s">
        <v>1</v>
      </c>
      <c r="AB147" t="s">
        <v>1</v>
      </c>
      <c r="AC147" t="s">
        <v>1</v>
      </c>
      <c r="AD147" t="s">
        <v>1</v>
      </c>
      <c r="AE147" t="s">
        <v>1</v>
      </c>
      <c r="AF147" t="s">
        <v>1</v>
      </c>
      <c r="AG147" t="s">
        <v>1</v>
      </c>
      <c r="AH147" t="s">
        <v>1</v>
      </c>
      <c r="AI147" t="s">
        <v>1</v>
      </c>
      <c r="AJ147" t="s">
        <v>1</v>
      </c>
      <c r="AK147" t="s">
        <v>1</v>
      </c>
      <c r="AL147" t="s">
        <v>1</v>
      </c>
      <c r="AM147" t="s">
        <v>1</v>
      </c>
      <c r="AN147">
        <v>146</v>
      </c>
      <c r="AO147">
        <f t="shared" si="12"/>
        <v>146</v>
      </c>
      <c r="AP147">
        <f t="shared" si="10"/>
        <v>21</v>
      </c>
      <c r="AQ147">
        <f t="shared" si="11"/>
        <v>21</v>
      </c>
      <c r="AR147" s="26" t="s">
        <v>1355</v>
      </c>
      <c r="AS147" s="26" t="s">
        <v>1356</v>
      </c>
      <c r="AT147" t="s">
        <v>713</v>
      </c>
      <c r="AU147" t="s">
        <v>1</v>
      </c>
      <c r="AV147" t="s">
        <v>1</v>
      </c>
      <c r="AW147">
        <v>45.39</v>
      </c>
      <c r="AX147">
        <v>-93.89</v>
      </c>
      <c r="AY147" t="s">
        <v>737</v>
      </c>
      <c r="BA147" s="3">
        <v>4</v>
      </c>
      <c r="BB147" s="3"/>
      <c r="BC147" s="3"/>
      <c r="BD147" s="3"/>
      <c r="BE147" s="3"/>
      <c r="BF147">
        <v>1999</v>
      </c>
      <c r="BG147" s="24" t="s">
        <v>732</v>
      </c>
      <c r="BH147" s="24" t="s">
        <v>733</v>
      </c>
      <c r="BI147" s="24" t="s">
        <v>733</v>
      </c>
      <c r="BJ147" s="24" t="s">
        <v>732</v>
      </c>
      <c r="BK147" s="24" t="s">
        <v>733</v>
      </c>
      <c r="BL147" s="25" t="s">
        <v>733</v>
      </c>
      <c r="BM147" s="24" t="s">
        <v>733</v>
      </c>
      <c r="BN147" s="24" t="s">
        <v>732</v>
      </c>
      <c r="BO147" s="24" t="s">
        <v>733</v>
      </c>
      <c r="BP147" s="24" t="s">
        <v>733</v>
      </c>
      <c r="BQ147" s="24" t="s">
        <v>945</v>
      </c>
      <c r="BR147" s="24" t="s">
        <v>945</v>
      </c>
      <c r="BS147" s="25" t="s">
        <v>934</v>
      </c>
      <c r="BT147" s="24" t="s">
        <v>934</v>
      </c>
      <c r="BU147" s="24" t="s">
        <v>934</v>
      </c>
      <c r="BV147" s="24" t="s">
        <v>934</v>
      </c>
      <c r="BW147" s="24" t="s">
        <v>934</v>
      </c>
      <c r="BX147" s="24" t="s">
        <v>934</v>
      </c>
      <c r="BY147" s="25" t="s">
        <v>945</v>
      </c>
      <c r="BZ147" t="s">
        <v>22</v>
      </c>
      <c r="CB147" t="s">
        <v>1</v>
      </c>
      <c r="CC147" s="4">
        <f>14.8*1000</f>
        <v>14800</v>
      </c>
      <c r="CD147" s="4"/>
      <c r="CE147" s="4"/>
      <c r="CF147" t="s">
        <v>793</v>
      </c>
      <c r="CG147">
        <v>100</v>
      </c>
      <c r="CH147" t="s">
        <v>805</v>
      </c>
      <c r="CI147" s="28">
        <v>0.6</v>
      </c>
      <c r="CJ147" s="9" t="s">
        <v>1</v>
      </c>
      <c r="CK147" t="s">
        <v>807</v>
      </c>
      <c r="CL147" s="4">
        <f>3.9*1000</f>
        <v>3900</v>
      </c>
      <c r="CM147" t="s">
        <v>847</v>
      </c>
      <c r="CN147" s="4">
        <v>226</v>
      </c>
      <c r="CO147" s="4"/>
      <c r="CP147" s="4" t="s">
        <v>1</v>
      </c>
      <c r="CQ147" s="4" t="s">
        <v>1</v>
      </c>
      <c r="CR147" s="4" t="s">
        <v>1</v>
      </c>
      <c r="CS147" s="4" t="s">
        <v>1</v>
      </c>
      <c r="CT147" s="4" t="s">
        <v>1</v>
      </c>
      <c r="CU147" s="4" t="s">
        <v>1</v>
      </c>
      <c r="CV147" t="s">
        <v>852</v>
      </c>
      <c r="CW147">
        <v>100</v>
      </c>
      <c r="CX147">
        <v>0</v>
      </c>
      <c r="CY147">
        <v>15</v>
      </c>
      <c r="CZ147" s="26" t="s">
        <v>1358</v>
      </c>
      <c r="DA147" t="s">
        <v>734</v>
      </c>
      <c r="DB147">
        <v>83</v>
      </c>
      <c r="DC147">
        <v>0</v>
      </c>
      <c r="DD147">
        <v>15</v>
      </c>
      <c r="DE147" s="26" t="s">
        <v>1358</v>
      </c>
      <c r="DF147" t="s">
        <v>735</v>
      </c>
      <c r="DG147">
        <v>9.5</v>
      </c>
      <c r="DH147">
        <v>0</v>
      </c>
      <c r="DI147">
        <v>15</v>
      </c>
      <c r="DJ147" s="26" t="s">
        <v>1358</v>
      </c>
      <c r="DK147" t="s">
        <v>736</v>
      </c>
      <c r="DL147">
        <v>7.5</v>
      </c>
      <c r="DM147">
        <v>0</v>
      </c>
      <c r="DN147">
        <v>15</v>
      </c>
      <c r="DO147" s="26" t="s">
        <v>1358</v>
      </c>
      <c r="DP147" t="s">
        <v>6</v>
      </c>
      <c r="DQ147" t="s">
        <v>1</v>
      </c>
      <c r="DR147">
        <v>6.6</v>
      </c>
      <c r="DS147">
        <v>0</v>
      </c>
      <c r="DT147">
        <v>15</v>
      </c>
      <c r="DU147" s="26" t="s">
        <v>1358</v>
      </c>
      <c r="EA147" t="s">
        <v>982</v>
      </c>
      <c r="EB147">
        <v>10.4</v>
      </c>
      <c r="EC147">
        <v>0</v>
      </c>
      <c r="ED147">
        <v>15</v>
      </c>
      <c r="EE147" s="26" t="s">
        <v>1358</v>
      </c>
      <c r="EF147" s="26"/>
      <c r="FZ147" t="s">
        <v>806</v>
      </c>
      <c r="GA147">
        <v>693</v>
      </c>
      <c r="GE147" s="26" t="s">
        <v>1358</v>
      </c>
      <c r="HA147" s="5" t="s">
        <v>1</v>
      </c>
      <c r="HB147" s="4" t="s">
        <v>1</v>
      </c>
      <c r="HC147" t="s">
        <v>1</v>
      </c>
      <c r="HD147" t="s">
        <v>1</v>
      </c>
      <c r="HE147" t="s">
        <v>1</v>
      </c>
      <c r="HF147" s="5" t="s">
        <v>1</v>
      </c>
      <c r="HG147" s="4" t="s">
        <v>1</v>
      </c>
      <c r="HH147" t="s">
        <v>1</v>
      </c>
      <c r="HI147" t="s">
        <v>1</v>
      </c>
      <c r="HJ147" t="s">
        <v>1</v>
      </c>
      <c r="HK147" t="s">
        <v>815</v>
      </c>
      <c r="HL147" s="35">
        <v>1.6</v>
      </c>
      <c r="HM147">
        <v>0</v>
      </c>
      <c r="HN147">
        <v>15</v>
      </c>
      <c r="HO147" t="s">
        <v>1451</v>
      </c>
      <c r="HP147" s="26" t="s">
        <v>1358</v>
      </c>
      <c r="HZ147" t="s">
        <v>969</v>
      </c>
      <c r="IA147">
        <v>280</v>
      </c>
      <c r="IB147" s="10" t="s">
        <v>1</v>
      </c>
      <c r="IC147" s="10"/>
      <c r="ID147" s="10"/>
      <c r="IE147" s="10" t="s">
        <v>1</v>
      </c>
      <c r="IF147" s="10" t="s">
        <v>1</v>
      </c>
      <c r="IG147" s="10" t="s">
        <v>974</v>
      </c>
      <c r="IH147" s="11">
        <f t="shared" si="13"/>
        <v>138.375</v>
      </c>
      <c r="II147" s="10" t="s">
        <v>1</v>
      </c>
      <c r="IJ147" s="10" t="s">
        <v>1</v>
      </c>
      <c r="IK147" s="12" t="s">
        <v>976</v>
      </c>
      <c r="IL147" s="10">
        <f t="shared" si="14"/>
        <v>62.484999999999992</v>
      </c>
      <c r="IM147" s="10" t="s">
        <v>1</v>
      </c>
      <c r="IN147" s="10" t="s">
        <v>1</v>
      </c>
      <c r="IO147" s="10" t="s">
        <v>977</v>
      </c>
      <c r="IP147" s="10">
        <f t="shared" si="15"/>
        <v>125.95</v>
      </c>
      <c r="IQ147" t="s">
        <v>1</v>
      </c>
      <c r="IR147" t="s">
        <v>1</v>
      </c>
      <c r="IS147" t="s">
        <v>1</v>
      </c>
      <c r="IT147" t="s">
        <v>1</v>
      </c>
      <c r="IW147" t="s">
        <v>1</v>
      </c>
      <c r="IX147" t="s">
        <v>1</v>
      </c>
      <c r="IY147" t="s">
        <v>808</v>
      </c>
      <c r="IZ147">
        <v>4300</v>
      </c>
      <c r="JA147" t="s">
        <v>1</v>
      </c>
      <c r="JB147" s="3" t="s">
        <v>1</v>
      </c>
      <c r="JC147" t="s">
        <v>1</v>
      </c>
      <c r="JD147" s="4" t="s">
        <v>1</v>
      </c>
      <c r="JE147" t="s">
        <v>810</v>
      </c>
      <c r="JF147">
        <v>100</v>
      </c>
      <c r="JR147" t="s">
        <v>1066</v>
      </c>
      <c r="JS147">
        <v>597.6</v>
      </c>
      <c r="JU147" t="s">
        <v>1</v>
      </c>
      <c r="JW147" t="s">
        <v>1</v>
      </c>
      <c r="JX147">
        <v>0</v>
      </c>
      <c r="JY147">
        <v>120</v>
      </c>
      <c r="JZ147" t="s">
        <v>800</v>
      </c>
      <c r="KA147" t="s">
        <v>155</v>
      </c>
      <c r="KB147" t="s">
        <v>738</v>
      </c>
      <c r="KC147" t="s">
        <v>1</v>
      </c>
      <c r="KD147" t="s">
        <v>1</v>
      </c>
      <c r="KE147" t="s">
        <v>1</v>
      </c>
      <c r="KF147" t="s">
        <v>1</v>
      </c>
      <c r="KG147" t="s">
        <v>1</v>
      </c>
      <c r="KH147" t="s">
        <v>1</v>
      </c>
      <c r="KI147" t="s">
        <v>1</v>
      </c>
      <c r="KJ147" t="s">
        <v>1</v>
      </c>
      <c r="KK147" t="s">
        <v>1</v>
      </c>
    </row>
    <row r="148" spans="1:297" x14ac:dyDescent="0.2">
      <c r="A148">
        <v>147</v>
      </c>
      <c r="B148" t="s">
        <v>705</v>
      </c>
      <c r="C148" t="s">
        <v>135</v>
      </c>
      <c r="D148" t="s">
        <v>167</v>
      </c>
      <c r="E148">
        <v>22</v>
      </c>
      <c r="F148" t="s">
        <v>168</v>
      </c>
      <c r="G148" t="s">
        <v>1</v>
      </c>
      <c r="H148" s="26" t="s">
        <v>1420</v>
      </c>
      <c r="I148" t="s">
        <v>1</v>
      </c>
      <c r="J148" t="s">
        <v>1</v>
      </c>
      <c r="K148" t="s">
        <v>1</v>
      </c>
      <c r="L148" t="s">
        <v>1</v>
      </c>
      <c r="M148" t="s">
        <v>1</v>
      </c>
      <c r="N148" t="s">
        <v>1</v>
      </c>
      <c r="O148" t="s">
        <v>1</v>
      </c>
      <c r="P148" t="s">
        <v>1</v>
      </c>
      <c r="Q148" t="s">
        <v>1</v>
      </c>
      <c r="R148" t="s">
        <v>1</v>
      </c>
      <c r="S148" t="s">
        <v>1</v>
      </c>
      <c r="T148" t="s">
        <v>1</v>
      </c>
      <c r="U148" t="s">
        <v>1</v>
      </c>
      <c r="V148" t="s">
        <v>1</v>
      </c>
      <c r="W148" t="s">
        <v>1</v>
      </c>
      <c r="X148" t="s">
        <v>1</v>
      </c>
      <c r="Y148" t="s">
        <v>1</v>
      </c>
      <c r="Z148" t="s">
        <v>1</v>
      </c>
      <c r="AA148" t="s">
        <v>1</v>
      </c>
      <c r="AB148" t="s">
        <v>1</v>
      </c>
      <c r="AC148" t="s">
        <v>1</v>
      </c>
      <c r="AD148" t="s">
        <v>1</v>
      </c>
      <c r="AE148" t="s">
        <v>1</v>
      </c>
      <c r="AF148" t="s">
        <v>1</v>
      </c>
      <c r="AG148" t="s">
        <v>1</v>
      </c>
      <c r="AH148" t="s">
        <v>1</v>
      </c>
      <c r="AI148" t="s">
        <v>1</v>
      </c>
      <c r="AJ148" t="s">
        <v>1</v>
      </c>
      <c r="AK148" t="s">
        <v>1</v>
      </c>
      <c r="AL148" t="s">
        <v>1</v>
      </c>
      <c r="AM148" t="s">
        <v>1</v>
      </c>
      <c r="AN148">
        <v>147</v>
      </c>
      <c r="AO148">
        <f t="shared" si="12"/>
        <v>147</v>
      </c>
      <c r="AP148">
        <f t="shared" si="10"/>
        <v>22</v>
      </c>
      <c r="AQ148">
        <f t="shared" si="11"/>
        <v>22</v>
      </c>
      <c r="AR148" s="26" t="s">
        <v>1355</v>
      </c>
      <c r="AS148" s="26" t="s">
        <v>1356</v>
      </c>
      <c r="AT148" t="s">
        <v>713</v>
      </c>
      <c r="AU148" t="s">
        <v>1</v>
      </c>
      <c r="AV148" t="s">
        <v>1</v>
      </c>
      <c r="AW148">
        <v>45.39</v>
      </c>
      <c r="AX148">
        <v>-93.89</v>
      </c>
      <c r="AY148" t="s">
        <v>737</v>
      </c>
      <c r="BA148" s="3">
        <v>4</v>
      </c>
      <c r="BB148" s="3"/>
      <c r="BC148" s="3"/>
      <c r="BD148" s="3"/>
      <c r="BE148" s="3"/>
      <c r="BF148">
        <v>1991</v>
      </c>
      <c r="BG148" s="24" t="s">
        <v>733</v>
      </c>
      <c r="BH148" s="24" t="s">
        <v>733</v>
      </c>
      <c r="BI148" s="24" t="s">
        <v>733</v>
      </c>
      <c r="BJ148" s="24" t="s">
        <v>732</v>
      </c>
      <c r="BK148" s="24" t="s">
        <v>733</v>
      </c>
      <c r="BL148" s="25" t="s">
        <v>733</v>
      </c>
      <c r="BM148" s="24" t="s">
        <v>733</v>
      </c>
      <c r="BN148" s="24" t="s">
        <v>732</v>
      </c>
      <c r="BO148" s="24" t="s">
        <v>733</v>
      </c>
      <c r="BP148" s="24" t="s">
        <v>733</v>
      </c>
      <c r="BQ148" s="24" t="s">
        <v>945</v>
      </c>
      <c r="BR148" s="24" t="s">
        <v>945</v>
      </c>
      <c r="BS148" s="25" t="s">
        <v>934</v>
      </c>
      <c r="BT148" s="24" t="s">
        <v>934</v>
      </c>
      <c r="BU148" s="24" t="s">
        <v>934</v>
      </c>
      <c r="BV148" s="24" t="s">
        <v>934</v>
      </c>
      <c r="BW148" s="24" t="s">
        <v>934</v>
      </c>
      <c r="BX148" s="24" t="s">
        <v>934</v>
      </c>
      <c r="BY148" s="25" t="s">
        <v>945</v>
      </c>
      <c r="BZ148" t="s">
        <v>22</v>
      </c>
      <c r="CB148" t="s">
        <v>1</v>
      </c>
      <c r="CC148" s="4">
        <f>AVERAGE(38,33.98)*1000*0.22</f>
        <v>7917.7999999999984</v>
      </c>
      <c r="CD148" s="4"/>
      <c r="CE148" s="4"/>
      <c r="CF148" t="s">
        <v>793</v>
      </c>
      <c r="CG148">
        <v>100</v>
      </c>
      <c r="CH148" t="s">
        <v>805</v>
      </c>
      <c r="CI148" s="28">
        <v>0.6</v>
      </c>
      <c r="CJ148" s="10" t="s">
        <v>1443</v>
      </c>
      <c r="CK148" s="9" t="s">
        <v>1</v>
      </c>
      <c r="CL148" s="4" t="s">
        <v>1</v>
      </c>
      <c r="CM148" t="s">
        <v>847</v>
      </c>
      <c r="CN148" s="4">
        <f>AVERAGE(78,82.7)</f>
        <v>80.349999999999994</v>
      </c>
      <c r="CO148" s="4"/>
      <c r="CP148" s="4" t="s">
        <v>1</v>
      </c>
      <c r="CQ148" s="4" t="s">
        <v>1</v>
      </c>
      <c r="CR148" s="4" t="s">
        <v>1</v>
      </c>
      <c r="CS148" s="4" t="s">
        <v>1</v>
      </c>
      <c r="CT148" s="4" t="s">
        <v>1</v>
      </c>
      <c r="CU148" s="4" t="s">
        <v>1</v>
      </c>
      <c r="CV148" t="s">
        <v>852</v>
      </c>
      <c r="CW148">
        <v>100</v>
      </c>
      <c r="CX148">
        <v>0</v>
      </c>
      <c r="CY148">
        <v>30</v>
      </c>
      <c r="CZ148" s="26" t="s">
        <v>1358</v>
      </c>
      <c r="DA148" t="s">
        <v>734</v>
      </c>
      <c r="DB148">
        <v>83</v>
      </c>
      <c r="DC148">
        <v>0</v>
      </c>
      <c r="DD148">
        <v>30</v>
      </c>
      <c r="DE148" s="26" t="s">
        <v>1358</v>
      </c>
      <c r="DF148" t="s">
        <v>735</v>
      </c>
      <c r="DG148">
        <v>9.5</v>
      </c>
      <c r="DH148">
        <v>0</v>
      </c>
      <c r="DI148">
        <v>30</v>
      </c>
      <c r="DJ148" s="26" t="s">
        <v>1358</v>
      </c>
      <c r="DK148" t="s">
        <v>736</v>
      </c>
      <c r="DL148">
        <v>7.5</v>
      </c>
      <c r="DM148">
        <v>0</v>
      </c>
      <c r="DN148">
        <v>30</v>
      </c>
      <c r="DO148" s="26" t="s">
        <v>1358</v>
      </c>
      <c r="DP148" t="s">
        <v>6</v>
      </c>
      <c r="DQ148" t="s">
        <v>1</v>
      </c>
      <c r="DR148">
        <v>6.7</v>
      </c>
      <c r="DS148">
        <v>0</v>
      </c>
      <c r="DT148">
        <v>30</v>
      </c>
      <c r="DU148" s="26" t="s">
        <v>1358</v>
      </c>
      <c r="EA148" t="s">
        <v>982</v>
      </c>
      <c r="EB148">
        <v>14.5</v>
      </c>
      <c r="EC148">
        <v>0</v>
      </c>
      <c r="ED148">
        <v>30</v>
      </c>
      <c r="EE148" s="26" t="s">
        <v>1358</v>
      </c>
      <c r="EF148" s="26"/>
      <c r="FZ148" t="s">
        <v>806</v>
      </c>
      <c r="GA148">
        <v>620.5</v>
      </c>
      <c r="GE148" s="26" t="s">
        <v>1358</v>
      </c>
      <c r="HA148" s="5" t="s">
        <v>1069</v>
      </c>
      <c r="HB148" s="4">
        <v>9.8450000000000006</v>
      </c>
      <c r="HC148">
        <v>0</v>
      </c>
      <c r="HD148">
        <v>30</v>
      </c>
      <c r="HE148" s="26" t="s">
        <v>1358</v>
      </c>
      <c r="HF148" s="5" t="s">
        <v>1</v>
      </c>
      <c r="HG148" s="4" t="s">
        <v>1</v>
      </c>
      <c r="HH148" t="s">
        <v>1</v>
      </c>
      <c r="HI148" t="s">
        <v>1</v>
      </c>
      <c r="HJ148" t="s">
        <v>1</v>
      </c>
      <c r="HK148" t="s">
        <v>815</v>
      </c>
      <c r="HL148" s="35">
        <v>1.6</v>
      </c>
      <c r="HM148">
        <v>0</v>
      </c>
      <c r="HN148">
        <v>30</v>
      </c>
      <c r="HO148" t="s">
        <v>1451</v>
      </c>
      <c r="HP148" s="26" t="s">
        <v>1358</v>
      </c>
      <c r="HZ148" t="s">
        <v>1</v>
      </c>
      <c r="IA148" t="s">
        <v>1</v>
      </c>
      <c r="IB148" s="10" t="s">
        <v>1</v>
      </c>
      <c r="IC148" s="10"/>
      <c r="ID148" s="10"/>
      <c r="IE148" s="10" t="s">
        <v>1</v>
      </c>
      <c r="IF148" s="10" t="s">
        <v>1</v>
      </c>
      <c r="IG148" s="10"/>
      <c r="IH148" s="10"/>
      <c r="II148" s="10"/>
      <c r="IJ148" s="10"/>
      <c r="IK148" s="10"/>
      <c r="IL148" s="10"/>
      <c r="IM148" s="10"/>
      <c r="IN148" s="10"/>
      <c r="IO148" s="10"/>
      <c r="IP148" s="10"/>
      <c r="IQ148" s="10"/>
      <c r="IR148" s="10"/>
      <c r="IS148" t="s">
        <v>1</v>
      </c>
      <c r="IT148" t="s">
        <v>1</v>
      </c>
      <c r="IW148" t="s">
        <v>1</v>
      </c>
      <c r="IX148" t="s">
        <v>1</v>
      </c>
      <c r="IY148" t="s">
        <v>808</v>
      </c>
      <c r="IZ148">
        <v>2370</v>
      </c>
      <c r="JA148" t="s">
        <v>1</v>
      </c>
      <c r="JB148" s="3" t="s">
        <v>1</v>
      </c>
      <c r="JC148" t="s">
        <v>1</v>
      </c>
      <c r="JD148" s="4" t="s">
        <v>1</v>
      </c>
      <c r="JE148" t="s">
        <v>810</v>
      </c>
      <c r="JF148">
        <v>100</v>
      </c>
      <c r="JR148" t="s">
        <v>1066</v>
      </c>
      <c r="JS148">
        <v>90.7</v>
      </c>
      <c r="JU148" t="s">
        <v>1</v>
      </c>
      <c r="JW148" t="s">
        <v>1</v>
      </c>
      <c r="JX148">
        <v>0</v>
      </c>
      <c r="JY148">
        <v>140</v>
      </c>
      <c r="JZ148" t="s">
        <v>800</v>
      </c>
      <c r="KA148" t="s">
        <v>155</v>
      </c>
      <c r="KB148" t="s">
        <v>738</v>
      </c>
      <c r="KC148" t="s">
        <v>1</v>
      </c>
      <c r="KD148" t="s">
        <v>1</v>
      </c>
      <c r="KE148" t="s">
        <v>1</v>
      </c>
      <c r="KF148" t="s">
        <v>1</v>
      </c>
      <c r="KG148" t="s">
        <v>1</v>
      </c>
      <c r="KH148" t="s">
        <v>1</v>
      </c>
      <c r="KI148" t="s">
        <v>1</v>
      </c>
      <c r="KJ148" t="s">
        <v>1</v>
      </c>
      <c r="KK148" t="s">
        <v>1</v>
      </c>
    </row>
    <row r="149" spans="1:297" x14ac:dyDescent="0.2">
      <c r="A149">
        <v>148</v>
      </c>
      <c r="B149" t="s">
        <v>705</v>
      </c>
      <c r="C149" t="s">
        <v>169</v>
      </c>
      <c r="D149" t="s">
        <v>167</v>
      </c>
      <c r="E149">
        <v>22</v>
      </c>
      <c r="F149" t="s">
        <v>168</v>
      </c>
      <c r="G149" t="s">
        <v>1</v>
      </c>
      <c r="H149" s="26" t="s">
        <v>1420</v>
      </c>
      <c r="I149" t="s">
        <v>1</v>
      </c>
      <c r="J149" t="s">
        <v>1</v>
      </c>
      <c r="K149" t="s">
        <v>1</v>
      </c>
      <c r="L149" t="s">
        <v>1</v>
      </c>
      <c r="M149" t="s">
        <v>1</v>
      </c>
      <c r="N149" t="s">
        <v>1</v>
      </c>
      <c r="O149" t="s">
        <v>1</v>
      </c>
      <c r="P149" t="s">
        <v>1</v>
      </c>
      <c r="Q149" t="s">
        <v>1</v>
      </c>
      <c r="R149" t="s">
        <v>1</v>
      </c>
      <c r="S149" t="s">
        <v>1</v>
      </c>
      <c r="T149" t="s">
        <v>1</v>
      </c>
      <c r="U149" t="s">
        <v>1</v>
      </c>
      <c r="V149" t="s">
        <v>1</v>
      </c>
      <c r="W149" t="s">
        <v>1</v>
      </c>
      <c r="X149" t="s">
        <v>1</v>
      </c>
      <c r="Y149" t="s">
        <v>1</v>
      </c>
      <c r="Z149" t="s">
        <v>1</v>
      </c>
      <c r="AA149" t="s">
        <v>1</v>
      </c>
      <c r="AB149" t="s">
        <v>1</v>
      </c>
      <c r="AC149" t="s">
        <v>1</v>
      </c>
      <c r="AD149" t="s">
        <v>1</v>
      </c>
      <c r="AE149" t="s">
        <v>1</v>
      </c>
      <c r="AF149" t="s">
        <v>1</v>
      </c>
      <c r="AG149" t="s">
        <v>1</v>
      </c>
      <c r="AH149" t="s">
        <v>1</v>
      </c>
      <c r="AI149" t="s">
        <v>1</v>
      </c>
      <c r="AJ149" t="s">
        <v>1</v>
      </c>
      <c r="AK149" t="s">
        <v>1</v>
      </c>
      <c r="AL149" t="s">
        <v>1</v>
      </c>
      <c r="AM149" t="s">
        <v>1</v>
      </c>
      <c r="AN149">
        <v>148</v>
      </c>
      <c r="AO149">
        <f t="shared" si="12"/>
        <v>148</v>
      </c>
      <c r="AP149">
        <f t="shared" si="10"/>
        <v>22</v>
      </c>
      <c r="AQ149">
        <f t="shared" si="11"/>
        <v>22</v>
      </c>
      <c r="AR149" s="26" t="s">
        <v>1355</v>
      </c>
      <c r="AS149" s="26" t="s">
        <v>1356</v>
      </c>
      <c r="AT149" t="s">
        <v>713</v>
      </c>
      <c r="AU149" t="s">
        <v>1</v>
      </c>
      <c r="AV149" t="s">
        <v>1</v>
      </c>
      <c r="AW149">
        <v>45.39</v>
      </c>
      <c r="AX149">
        <v>-93.89</v>
      </c>
      <c r="AY149" t="s">
        <v>737</v>
      </c>
      <c r="BA149" s="3">
        <v>4</v>
      </c>
      <c r="BB149" s="3"/>
      <c r="BC149" s="3"/>
      <c r="BD149" s="3"/>
      <c r="BE149" s="3"/>
      <c r="BF149">
        <v>1991</v>
      </c>
      <c r="BG149" s="24" t="s">
        <v>733</v>
      </c>
      <c r="BH149" s="24" t="s">
        <v>733</v>
      </c>
      <c r="BI149" s="24" t="s">
        <v>733</v>
      </c>
      <c r="BJ149" s="24" t="s">
        <v>732</v>
      </c>
      <c r="BK149" s="24" t="s">
        <v>733</v>
      </c>
      <c r="BL149" s="25" t="s">
        <v>733</v>
      </c>
      <c r="BM149" s="24" t="s">
        <v>733</v>
      </c>
      <c r="BN149" s="24" t="s">
        <v>732</v>
      </c>
      <c r="BO149" s="24" t="s">
        <v>733</v>
      </c>
      <c r="BP149" s="24" t="s">
        <v>733</v>
      </c>
      <c r="BQ149" s="24" t="s">
        <v>945</v>
      </c>
      <c r="BR149" s="24" t="s">
        <v>945</v>
      </c>
      <c r="BS149" s="25" t="s">
        <v>934</v>
      </c>
      <c r="BT149" s="24" t="s">
        <v>934</v>
      </c>
      <c r="BU149" s="24" t="s">
        <v>934</v>
      </c>
      <c r="BV149" s="24" t="s">
        <v>934</v>
      </c>
      <c r="BW149" s="24" t="s">
        <v>934</v>
      </c>
      <c r="BX149" s="24" t="s">
        <v>934</v>
      </c>
      <c r="BY149" s="25" t="s">
        <v>945</v>
      </c>
      <c r="BZ149" t="s">
        <v>22</v>
      </c>
      <c r="CB149" t="s">
        <v>1</v>
      </c>
      <c r="CC149" s="4">
        <f>AVERAGE(52.76,67.77)*1000*0.22</f>
        <v>13258.3</v>
      </c>
      <c r="CD149" s="4"/>
      <c r="CE149" s="4"/>
      <c r="CF149" t="s">
        <v>793</v>
      </c>
      <c r="CG149">
        <v>100</v>
      </c>
      <c r="CH149" t="s">
        <v>805</v>
      </c>
      <c r="CI149" s="28">
        <v>0.6</v>
      </c>
      <c r="CJ149" s="10" t="s">
        <v>1443</v>
      </c>
      <c r="CK149" s="9" t="s">
        <v>1</v>
      </c>
      <c r="CL149" s="4" t="s">
        <v>1</v>
      </c>
      <c r="CM149" t="s">
        <v>847</v>
      </c>
      <c r="CN149" s="4">
        <f>AVERAGE(184.9,231.3)</f>
        <v>208.10000000000002</v>
      </c>
      <c r="CO149" s="4"/>
      <c r="CP149" s="4" t="s">
        <v>1</v>
      </c>
      <c r="CQ149" s="4" t="s">
        <v>1</v>
      </c>
      <c r="CR149" s="4" t="s">
        <v>1</v>
      </c>
      <c r="CS149" s="4" t="s">
        <v>1</v>
      </c>
      <c r="CT149" s="4" t="s">
        <v>1</v>
      </c>
      <c r="CU149" s="4" t="s">
        <v>1</v>
      </c>
      <c r="CV149" t="s">
        <v>852</v>
      </c>
      <c r="CW149">
        <v>100</v>
      </c>
      <c r="CX149">
        <v>0</v>
      </c>
      <c r="CY149">
        <v>30</v>
      </c>
      <c r="CZ149" s="26" t="s">
        <v>1358</v>
      </c>
      <c r="DA149" t="s">
        <v>734</v>
      </c>
      <c r="DB149">
        <v>83</v>
      </c>
      <c r="DC149">
        <v>0</v>
      </c>
      <c r="DD149">
        <v>30</v>
      </c>
      <c r="DE149" s="26" t="s">
        <v>1358</v>
      </c>
      <c r="DF149" t="s">
        <v>735</v>
      </c>
      <c r="DG149">
        <v>9.5</v>
      </c>
      <c r="DH149">
        <v>0</v>
      </c>
      <c r="DI149">
        <v>30</v>
      </c>
      <c r="DJ149" s="26" t="s">
        <v>1358</v>
      </c>
      <c r="DK149" t="s">
        <v>736</v>
      </c>
      <c r="DL149">
        <v>7.5</v>
      </c>
      <c r="DM149">
        <v>0</v>
      </c>
      <c r="DN149">
        <v>30</v>
      </c>
      <c r="DO149" s="26" t="s">
        <v>1358</v>
      </c>
      <c r="DP149" t="s">
        <v>6</v>
      </c>
      <c r="DQ149" t="s">
        <v>1</v>
      </c>
      <c r="DR149">
        <v>6.7</v>
      </c>
      <c r="DS149">
        <v>0</v>
      </c>
      <c r="DT149">
        <v>30</v>
      </c>
      <c r="DU149" s="26" t="s">
        <v>1358</v>
      </c>
      <c r="EA149" t="s">
        <v>982</v>
      </c>
      <c r="EB149">
        <v>14.5</v>
      </c>
      <c r="EC149">
        <v>0</v>
      </c>
      <c r="ED149">
        <v>30</v>
      </c>
      <c r="EE149" s="26" t="s">
        <v>1358</v>
      </c>
      <c r="EF149" s="26"/>
      <c r="FZ149" t="s">
        <v>806</v>
      </c>
      <c r="GA149">
        <v>620.5</v>
      </c>
      <c r="GE149" s="26" t="s">
        <v>1358</v>
      </c>
      <c r="HA149" s="5" t="s">
        <v>1069</v>
      </c>
      <c r="HB149" s="4">
        <v>9.8450000000000006</v>
      </c>
      <c r="HC149">
        <v>0</v>
      </c>
      <c r="HD149">
        <v>30</v>
      </c>
      <c r="HE149" s="26" t="s">
        <v>1358</v>
      </c>
      <c r="HF149" s="5" t="s">
        <v>1</v>
      </c>
      <c r="HG149" s="4" t="s">
        <v>1</v>
      </c>
      <c r="HH149" t="s">
        <v>1</v>
      </c>
      <c r="HI149" t="s">
        <v>1</v>
      </c>
      <c r="HJ149" t="s">
        <v>1</v>
      </c>
      <c r="HK149" t="s">
        <v>815</v>
      </c>
      <c r="HL149" s="35">
        <v>1.6</v>
      </c>
      <c r="HM149">
        <v>0</v>
      </c>
      <c r="HN149">
        <v>30</v>
      </c>
      <c r="HO149" t="s">
        <v>1451</v>
      </c>
      <c r="HP149" s="26" t="s">
        <v>1358</v>
      </c>
      <c r="HZ149" t="s">
        <v>966</v>
      </c>
      <c r="IA149">
        <v>270</v>
      </c>
      <c r="IB149" s="5" t="s">
        <v>1</v>
      </c>
      <c r="IC149" s="5"/>
      <c r="ID149" s="5"/>
      <c r="IE149" s="10" t="s">
        <v>1</v>
      </c>
      <c r="IF149" s="10" t="s">
        <v>1</v>
      </c>
      <c r="IG149" s="10"/>
      <c r="IH149" s="10"/>
      <c r="II149" s="10"/>
      <c r="IJ149" s="10"/>
      <c r="IK149" s="10"/>
      <c r="IL149" s="10"/>
      <c r="IM149" s="10"/>
      <c r="IN149" s="10"/>
      <c r="IO149" s="10"/>
      <c r="IP149" s="10"/>
      <c r="IQ149" s="10"/>
      <c r="IR149" s="10"/>
      <c r="IS149" t="s">
        <v>1</v>
      </c>
      <c r="IT149" t="s">
        <v>1</v>
      </c>
      <c r="IW149" t="s">
        <v>1</v>
      </c>
      <c r="IX149" t="s">
        <v>1</v>
      </c>
      <c r="IY149" t="s">
        <v>808</v>
      </c>
      <c r="IZ149">
        <v>2370</v>
      </c>
      <c r="JA149" t="s">
        <v>1</v>
      </c>
      <c r="JB149" s="3" t="s">
        <v>1</v>
      </c>
      <c r="JC149" t="s">
        <v>1</v>
      </c>
      <c r="JD149" s="4" t="s">
        <v>1</v>
      </c>
      <c r="JE149" t="s">
        <v>810</v>
      </c>
      <c r="JF149">
        <v>100</v>
      </c>
      <c r="JR149" t="s">
        <v>1066</v>
      </c>
      <c r="JS149">
        <v>378.5</v>
      </c>
      <c r="JU149" t="s">
        <v>1</v>
      </c>
      <c r="JW149" t="s">
        <v>1</v>
      </c>
      <c r="JX149">
        <v>0</v>
      </c>
      <c r="JY149">
        <v>140</v>
      </c>
      <c r="JZ149" t="s">
        <v>800</v>
      </c>
      <c r="KA149" t="s">
        <v>155</v>
      </c>
      <c r="KB149" t="s">
        <v>738</v>
      </c>
      <c r="KC149" t="s">
        <v>1</v>
      </c>
      <c r="KD149" t="s">
        <v>1</v>
      </c>
      <c r="KE149" t="s">
        <v>1</v>
      </c>
      <c r="KF149" t="s">
        <v>1</v>
      </c>
      <c r="KG149" t="s">
        <v>1</v>
      </c>
      <c r="KH149" t="s">
        <v>1</v>
      </c>
      <c r="KI149" t="s">
        <v>1</v>
      </c>
      <c r="KJ149" t="s">
        <v>1</v>
      </c>
      <c r="KK149" t="s">
        <v>1</v>
      </c>
    </row>
    <row r="150" spans="1:297" x14ac:dyDescent="0.2">
      <c r="A150">
        <v>149</v>
      </c>
      <c r="B150" t="s">
        <v>705</v>
      </c>
      <c r="C150" t="s">
        <v>170</v>
      </c>
      <c r="D150" t="s">
        <v>167</v>
      </c>
      <c r="E150">
        <v>22</v>
      </c>
      <c r="F150" t="s">
        <v>168</v>
      </c>
      <c r="G150" t="s">
        <v>1</v>
      </c>
      <c r="H150" s="26" t="s">
        <v>1420</v>
      </c>
      <c r="I150" t="s">
        <v>1</v>
      </c>
      <c r="J150" t="s">
        <v>1</v>
      </c>
      <c r="K150" t="s">
        <v>1</v>
      </c>
      <c r="L150" t="s">
        <v>1</v>
      </c>
      <c r="M150" t="s">
        <v>1</v>
      </c>
      <c r="N150" t="s">
        <v>1</v>
      </c>
      <c r="O150" t="s">
        <v>1</v>
      </c>
      <c r="P150" t="s">
        <v>1</v>
      </c>
      <c r="Q150" t="s">
        <v>1</v>
      </c>
      <c r="R150" t="s">
        <v>1</v>
      </c>
      <c r="S150" t="s">
        <v>1</v>
      </c>
      <c r="T150" t="s">
        <v>1</v>
      </c>
      <c r="U150" t="s">
        <v>1</v>
      </c>
      <c r="V150" t="s">
        <v>1</v>
      </c>
      <c r="W150" t="s">
        <v>1</v>
      </c>
      <c r="X150" t="s">
        <v>1</v>
      </c>
      <c r="Y150" t="s">
        <v>1</v>
      </c>
      <c r="Z150" t="s">
        <v>1</v>
      </c>
      <c r="AA150" t="s">
        <v>1</v>
      </c>
      <c r="AB150" t="s">
        <v>1</v>
      </c>
      <c r="AC150" t="s">
        <v>1</v>
      </c>
      <c r="AD150" t="s">
        <v>1</v>
      </c>
      <c r="AE150" t="s">
        <v>1</v>
      </c>
      <c r="AF150" t="s">
        <v>1</v>
      </c>
      <c r="AG150" t="s">
        <v>1</v>
      </c>
      <c r="AH150" t="s">
        <v>1</v>
      </c>
      <c r="AI150" t="s">
        <v>1</v>
      </c>
      <c r="AJ150" t="s">
        <v>1</v>
      </c>
      <c r="AK150" t="s">
        <v>1</v>
      </c>
      <c r="AL150" t="s">
        <v>1</v>
      </c>
      <c r="AM150" t="s">
        <v>1</v>
      </c>
      <c r="AN150">
        <v>149</v>
      </c>
      <c r="AO150">
        <f t="shared" si="12"/>
        <v>149</v>
      </c>
      <c r="AP150">
        <f t="shared" si="10"/>
        <v>22</v>
      </c>
      <c r="AQ150">
        <f t="shared" si="11"/>
        <v>22</v>
      </c>
      <c r="AR150" s="26" t="s">
        <v>1355</v>
      </c>
      <c r="AS150" s="26" t="s">
        <v>1356</v>
      </c>
      <c r="AT150" t="s">
        <v>713</v>
      </c>
      <c r="AU150" t="s">
        <v>1</v>
      </c>
      <c r="AV150" t="s">
        <v>1</v>
      </c>
      <c r="AW150">
        <v>45.39</v>
      </c>
      <c r="AX150">
        <v>-93.89</v>
      </c>
      <c r="AY150" t="s">
        <v>737</v>
      </c>
      <c r="BA150" s="3">
        <v>4</v>
      </c>
      <c r="BB150" s="3"/>
      <c r="BC150" s="3"/>
      <c r="BD150" s="3"/>
      <c r="BE150" s="3"/>
      <c r="BF150">
        <v>1991</v>
      </c>
      <c r="BG150" s="24" t="s">
        <v>733</v>
      </c>
      <c r="BH150" s="24" t="s">
        <v>733</v>
      </c>
      <c r="BI150" s="24" t="s">
        <v>733</v>
      </c>
      <c r="BJ150" s="24" t="s">
        <v>732</v>
      </c>
      <c r="BK150" s="24" t="s">
        <v>733</v>
      </c>
      <c r="BL150" s="25" t="s">
        <v>733</v>
      </c>
      <c r="BM150" s="24" t="s">
        <v>733</v>
      </c>
      <c r="BN150" s="24" t="s">
        <v>732</v>
      </c>
      <c r="BO150" s="24" t="s">
        <v>733</v>
      </c>
      <c r="BP150" s="24" t="s">
        <v>733</v>
      </c>
      <c r="BQ150" s="24" t="s">
        <v>945</v>
      </c>
      <c r="BR150" s="24" t="s">
        <v>945</v>
      </c>
      <c r="BS150" s="25" t="s">
        <v>934</v>
      </c>
      <c r="BT150" s="24" t="s">
        <v>934</v>
      </c>
      <c r="BU150" s="24" t="s">
        <v>934</v>
      </c>
      <c r="BV150" s="24" t="s">
        <v>934</v>
      </c>
      <c r="BW150" s="24" t="s">
        <v>934</v>
      </c>
      <c r="BX150" s="24" t="s">
        <v>934</v>
      </c>
      <c r="BY150" s="25" t="s">
        <v>945</v>
      </c>
      <c r="BZ150" t="s">
        <v>22</v>
      </c>
      <c r="CB150" t="s">
        <v>1</v>
      </c>
      <c r="CC150" s="4">
        <f>AVERAGE(55.17,63.62)*1000*0.22</f>
        <v>13066.899999999998</v>
      </c>
      <c r="CD150" s="4"/>
      <c r="CE150" s="4"/>
      <c r="CF150" t="s">
        <v>793</v>
      </c>
      <c r="CG150">
        <v>100</v>
      </c>
      <c r="CH150" t="s">
        <v>805</v>
      </c>
      <c r="CI150" s="28">
        <v>0.6</v>
      </c>
      <c r="CJ150" s="10" t="s">
        <v>1443</v>
      </c>
      <c r="CK150" s="9" t="s">
        <v>1</v>
      </c>
      <c r="CL150" s="4" t="s">
        <v>1</v>
      </c>
      <c r="CM150" t="s">
        <v>847</v>
      </c>
      <c r="CN150" s="4">
        <f>AVERAGE(177.2,224.8)</f>
        <v>201</v>
      </c>
      <c r="CO150" s="4"/>
      <c r="CP150" s="4" t="s">
        <v>1</v>
      </c>
      <c r="CQ150" s="4" t="s">
        <v>1</v>
      </c>
      <c r="CR150" s="4" t="s">
        <v>1</v>
      </c>
      <c r="CS150" s="4" t="s">
        <v>1</v>
      </c>
      <c r="CT150" s="4" t="s">
        <v>1</v>
      </c>
      <c r="CU150" s="4" t="s">
        <v>1</v>
      </c>
      <c r="CV150" t="s">
        <v>852</v>
      </c>
      <c r="CW150">
        <v>100</v>
      </c>
      <c r="CX150">
        <v>0</v>
      </c>
      <c r="CY150">
        <v>30</v>
      </c>
      <c r="CZ150" s="26" t="s">
        <v>1358</v>
      </c>
      <c r="DA150" t="s">
        <v>734</v>
      </c>
      <c r="DB150">
        <v>83</v>
      </c>
      <c r="DC150">
        <v>0</v>
      </c>
      <c r="DD150">
        <v>30</v>
      </c>
      <c r="DE150" s="26" t="s">
        <v>1358</v>
      </c>
      <c r="DF150" t="s">
        <v>735</v>
      </c>
      <c r="DG150">
        <v>9.5</v>
      </c>
      <c r="DH150">
        <v>0</v>
      </c>
      <c r="DI150">
        <v>30</v>
      </c>
      <c r="DJ150" s="26" t="s">
        <v>1358</v>
      </c>
      <c r="DK150" t="s">
        <v>736</v>
      </c>
      <c r="DL150">
        <v>7.5</v>
      </c>
      <c r="DM150">
        <v>0</v>
      </c>
      <c r="DN150">
        <v>30</v>
      </c>
      <c r="DO150" s="26" t="s">
        <v>1358</v>
      </c>
      <c r="DP150" t="s">
        <v>6</v>
      </c>
      <c r="DQ150" t="s">
        <v>1</v>
      </c>
      <c r="DR150">
        <v>6.7</v>
      </c>
      <c r="DS150">
        <v>0</v>
      </c>
      <c r="DT150">
        <v>30</v>
      </c>
      <c r="DU150" s="26" t="s">
        <v>1358</v>
      </c>
      <c r="EA150" t="s">
        <v>982</v>
      </c>
      <c r="EB150">
        <v>14.5</v>
      </c>
      <c r="EC150">
        <v>0</v>
      </c>
      <c r="ED150">
        <v>30</v>
      </c>
      <c r="EE150" s="26" t="s">
        <v>1358</v>
      </c>
      <c r="EF150" s="26"/>
      <c r="FZ150" t="s">
        <v>806</v>
      </c>
      <c r="GA150">
        <v>620.5</v>
      </c>
      <c r="GE150" s="26" t="s">
        <v>1358</v>
      </c>
      <c r="HA150" s="5" t="s">
        <v>1069</v>
      </c>
      <c r="HB150" s="4">
        <v>9.8450000000000006</v>
      </c>
      <c r="HC150">
        <v>0</v>
      </c>
      <c r="HD150">
        <v>30</v>
      </c>
      <c r="HE150" s="26" t="s">
        <v>1358</v>
      </c>
      <c r="HF150" s="5" t="s">
        <v>1</v>
      </c>
      <c r="HG150" s="4" t="s">
        <v>1</v>
      </c>
      <c r="HH150" t="s">
        <v>1</v>
      </c>
      <c r="HI150" t="s">
        <v>1</v>
      </c>
      <c r="HJ150" t="s">
        <v>1</v>
      </c>
      <c r="HK150" t="s">
        <v>815</v>
      </c>
      <c r="HL150" s="35">
        <v>1.6</v>
      </c>
      <c r="HM150">
        <v>0</v>
      </c>
      <c r="HN150">
        <v>30</v>
      </c>
      <c r="HO150" t="s">
        <v>1451</v>
      </c>
      <c r="HP150" s="26" t="s">
        <v>1358</v>
      </c>
      <c r="HZ150" t="s">
        <v>966</v>
      </c>
      <c r="IA150">
        <v>270</v>
      </c>
      <c r="IB150" s="5" t="s">
        <v>1</v>
      </c>
      <c r="IC150" s="5"/>
      <c r="ID150" s="5"/>
      <c r="IE150" s="10" t="s">
        <v>1</v>
      </c>
      <c r="IF150" s="10" t="s">
        <v>1</v>
      </c>
      <c r="IG150" s="10"/>
      <c r="IH150" s="10"/>
      <c r="II150" s="10"/>
      <c r="IJ150" s="10"/>
      <c r="IK150" s="10"/>
      <c r="IL150" s="10"/>
      <c r="IM150" s="10"/>
      <c r="IN150" s="10"/>
      <c r="IO150" s="10"/>
      <c r="IP150" s="10"/>
      <c r="IQ150" s="10"/>
      <c r="IR150" s="10"/>
      <c r="IS150" t="s">
        <v>1</v>
      </c>
      <c r="IT150" t="s">
        <v>1</v>
      </c>
      <c r="IW150" t="s">
        <v>1</v>
      </c>
      <c r="IX150" t="s">
        <v>1</v>
      </c>
      <c r="IY150" t="s">
        <v>808</v>
      </c>
      <c r="IZ150">
        <v>2370</v>
      </c>
      <c r="JA150" t="s">
        <v>1</v>
      </c>
      <c r="JB150" s="3" t="s">
        <v>1</v>
      </c>
      <c r="JC150" t="s">
        <v>1</v>
      </c>
      <c r="JD150" s="4" t="s">
        <v>1</v>
      </c>
      <c r="JE150" t="s">
        <v>810</v>
      </c>
      <c r="JF150">
        <v>100</v>
      </c>
      <c r="JR150" t="s">
        <v>1066</v>
      </c>
      <c r="JS150">
        <v>566.6</v>
      </c>
      <c r="JU150" t="s">
        <v>1</v>
      </c>
      <c r="JW150" t="s">
        <v>1</v>
      </c>
      <c r="JX150">
        <v>0</v>
      </c>
      <c r="JY150">
        <v>140</v>
      </c>
      <c r="JZ150" t="s">
        <v>800</v>
      </c>
      <c r="KA150" t="s">
        <v>155</v>
      </c>
      <c r="KB150" t="s">
        <v>738</v>
      </c>
      <c r="KC150" t="s">
        <v>1</v>
      </c>
      <c r="KD150" t="s">
        <v>1</v>
      </c>
      <c r="KE150" t="s">
        <v>1</v>
      </c>
      <c r="KF150" t="s">
        <v>1</v>
      </c>
      <c r="KG150" t="s">
        <v>1</v>
      </c>
      <c r="KH150" t="s">
        <v>1</v>
      </c>
      <c r="KI150" t="s">
        <v>1</v>
      </c>
      <c r="KJ150" t="s">
        <v>1</v>
      </c>
      <c r="KK150" t="s">
        <v>1</v>
      </c>
    </row>
    <row r="151" spans="1:297" x14ac:dyDescent="0.2">
      <c r="A151">
        <v>150</v>
      </c>
      <c r="B151" t="s">
        <v>705</v>
      </c>
      <c r="C151" t="s">
        <v>171</v>
      </c>
      <c r="D151" t="s">
        <v>167</v>
      </c>
      <c r="E151">
        <v>22</v>
      </c>
      <c r="F151" t="s">
        <v>168</v>
      </c>
      <c r="G151" t="s">
        <v>1</v>
      </c>
      <c r="H151" s="26" t="s">
        <v>1420</v>
      </c>
      <c r="I151" t="s">
        <v>1</v>
      </c>
      <c r="J151" t="s">
        <v>1</v>
      </c>
      <c r="K151" t="s">
        <v>1</v>
      </c>
      <c r="L151" t="s">
        <v>1</v>
      </c>
      <c r="M151" t="s">
        <v>1</v>
      </c>
      <c r="N151" t="s">
        <v>1</v>
      </c>
      <c r="O151" t="s">
        <v>1</v>
      </c>
      <c r="P151" t="s">
        <v>1</v>
      </c>
      <c r="Q151" t="s">
        <v>1</v>
      </c>
      <c r="R151" t="s">
        <v>1</v>
      </c>
      <c r="S151" t="s">
        <v>1</v>
      </c>
      <c r="T151" t="s">
        <v>1</v>
      </c>
      <c r="U151" t="s">
        <v>1</v>
      </c>
      <c r="V151" t="s">
        <v>1</v>
      </c>
      <c r="W151" t="s">
        <v>1</v>
      </c>
      <c r="X151" t="s">
        <v>1</v>
      </c>
      <c r="Y151" t="s">
        <v>1</v>
      </c>
      <c r="Z151" t="s">
        <v>1</v>
      </c>
      <c r="AA151" t="s">
        <v>1</v>
      </c>
      <c r="AB151" t="s">
        <v>1</v>
      </c>
      <c r="AC151" t="s">
        <v>1</v>
      </c>
      <c r="AD151" t="s">
        <v>1</v>
      </c>
      <c r="AE151" t="s">
        <v>1</v>
      </c>
      <c r="AF151" t="s">
        <v>1</v>
      </c>
      <c r="AG151" t="s">
        <v>1</v>
      </c>
      <c r="AH151" t="s">
        <v>1</v>
      </c>
      <c r="AI151" t="s">
        <v>1</v>
      </c>
      <c r="AJ151" t="s">
        <v>1</v>
      </c>
      <c r="AK151" t="s">
        <v>1</v>
      </c>
      <c r="AL151" t="s">
        <v>1</v>
      </c>
      <c r="AM151" t="s">
        <v>1</v>
      </c>
      <c r="AN151">
        <v>150</v>
      </c>
      <c r="AO151">
        <f t="shared" si="12"/>
        <v>150</v>
      </c>
      <c r="AP151">
        <f t="shared" si="10"/>
        <v>22</v>
      </c>
      <c r="AQ151">
        <f t="shared" si="11"/>
        <v>22</v>
      </c>
      <c r="AR151" s="26" t="s">
        <v>1355</v>
      </c>
      <c r="AS151" s="26" t="s">
        <v>1356</v>
      </c>
      <c r="AT151" t="s">
        <v>713</v>
      </c>
      <c r="AU151" t="s">
        <v>1</v>
      </c>
      <c r="AV151" t="s">
        <v>1</v>
      </c>
      <c r="AW151">
        <v>45.39</v>
      </c>
      <c r="AX151">
        <v>-93.89</v>
      </c>
      <c r="AY151" t="s">
        <v>737</v>
      </c>
      <c r="BA151" s="3">
        <v>4</v>
      </c>
      <c r="BB151" s="3"/>
      <c r="BC151" s="3"/>
      <c r="BD151" s="3"/>
      <c r="BE151" s="3"/>
      <c r="BF151">
        <v>1991</v>
      </c>
      <c r="BG151" s="24" t="s">
        <v>733</v>
      </c>
      <c r="BH151" s="24" t="s">
        <v>733</v>
      </c>
      <c r="BI151" s="24" t="s">
        <v>733</v>
      </c>
      <c r="BJ151" s="24" t="s">
        <v>732</v>
      </c>
      <c r="BK151" s="24" t="s">
        <v>733</v>
      </c>
      <c r="BL151" s="25" t="s">
        <v>733</v>
      </c>
      <c r="BM151" s="24" t="s">
        <v>733</v>
      </c>
      <c r="BN151" s="24" t="s">
        <v>732</v>
      </c>
      <c r="BO151" s="24" t="s">
        <v>733</v>
      </c>
      <c r="BP151" s="24" t="s">
        <v>733</v>
      </c>
      <c r="BQ151" s="24" t="s">
        <v>945</v>
      </c>
      <c r="BR151" s="24" t="s">
        <v>945</v>
      </c>
      <c r="BS151" s="25" t="s">
        <v>934</v>
      </c>
      <c r="BT151" s="24" t="s">
        <v>934</v>
      </c>
      <c r="BU151" s="24" t="s">
        <v>934</v>
      </c>
      <c r="BV151" s="24" t="s">
        <v>934</v>
      </c>
      <c r="BW151" s="24" t="s">
        <v>934</v>
      </c>
      <c r="BX151" s="24" t="s">
        <v>934</v>
      </c>
      <c r="BY151" s="25" t="s">
        <v>945</v>
      </c>
      <c r="BZ151" t="s">
        <v>22</v>
      </c>
      <c r="CB151" t="s">
        <v>1</v>
      </c>
      <c r="CC151" s="4">
        <f>AVERAGE(54.42,67.28)*1000*0.22</f>
        <v>13387</v>
      </c>
      <c r="CD151" s="4"/>
      <c r="CE151" s="4"/>
      <c r="CF151" t="s">
        <v>793</v>
      </c>
      <c r="CG151">
        <v>100</v>
      </c>
      <c r="CH151" t="s">
        <v>805</v>
      </c>
      <c r="CI151" s="28">
        <v>0.6</v>
      </c>
      <c r="CJ151" s="10" t="s">
        <v>1443</v>
      </c>
      <c r="CK151" s="9" t="s">
        <v>1</v>
      </c>
      <c r="CL151" s="4" t="s">
        <v>1</v>
      </c>
      <c r="CM151" t="s">
        <v>847</v>
      </c>
      <c r="CN151" s="4">
        <f>AVERAGE(162.4,247.2)</f>
        <v>204.8</v>
      </c>
      <c r="CO151" s="4"/>
      <c r="CP151" s="4" t="s">
        <v>1</v>
      </c>
      <c r="CQ151" s="4" t="s">
        <v>1</v>
      </c>
      <c r="CR151" s="4" t="s">
        <v>1</v>
      </c>
      <c r="CS151" s="4" t="s">
        <v>1</v>
      </c>
      <c r="CT151" s="4" t="s">
        <v>1</v>
      </c>
      <c r="CU151" s="4" t="s">
        <v>1</v>
      </c>
      <c r="CV151" t="s">
        <v>852</v>
      </c>
      <c r="CW151">
        <v>100</v>
      </c>
      <c r="CX151">
        <v>0</v>
      </c>
      <c r="CY151">
        <v>30</v>
      </c>
      <c r="CZ151" s="26" t="s">
        <v>1358</v>
      </c>
      <c r="DA151" t="s">
        <v>734</v>
      </c>
      <c r="DB151">
        <v>83</v>
      </c>
      <c r="DC151">
        <v>0</v>
      </c>
      <c r="DD151">
        <v>30</v>
      </c>
      <c r="DE151" s="26" t="s">
        <v>1358</v>
      </c>
      <c r="DF151" t="s">
        <v>735</v>
      </c>
      <c r="DG151">
        <v>9.5</v>
      </c>
      <c r="DH151">
        <v>0</v>
      </c>
      <c r="DI151">
        <v>30</v>
      </c>
      <c r="DJ151" s="26" t="s">
        <v>1358</v>
      </c>
      <c r="DK151" t="s">
        <v>736</v>
      </c>
      <c r="DL151">
        <v>7.5</v>
      </c>
      <c r="DM151">
        <v>0</v>
      </c>
      <c r="DN151">
        <v>30</v>
      </c>
      <c r="DO151" s="26" t="s">
        <v>1358</v>
      </c>
      <c r="DP151" t="s">
        <v>6</v>
      </c>
      <c r="DQ151" t="s">
        <v>1</v>
      </c>
      <c r="DR151">
        <v>6.7</v>
      </c>
      <c r="DS151">
        <v>0</v>
      </c>
      <c r="DT151">
        <v>30</v>
      </c>
      <c r="DU151" s="26" t="s">
        <v>1358</v>
      </c>
      <c r="EA151" t="s">
        <v>982</v>
      </c>
      <c r="EB151">
        <v>14.5</v>
      </c>
      <c r="EC151">
        <v>0</v>
      </c>
      <c r="ED151">
        <v>30</v>
      </c>
      <c r="EE151" s="26" t="s">
        <v>1358</v>
      </c>
      <c r="EF151" s="26"/>
      <c r="FZ151" t="s">
        <v>806</v>
      </c>
      <c r="GA151">
        <v>620.5</v>
      </c>
      <c r="GE151" s="26" t="s">
        <v>1358</v>
      </c>
      <c r="HA151" s="5" t="s">
        <v>1069</v>
      </c>
      <c r="HB151" s="4">
        <v>9.8450000000000006</v>
      </c>
      <c r="HC151">
        <v>0</v>
      </c>
      <c r="HD151">
        <v>30</v>
      </c>
      <c r="HE151" s="26" t="s">
        <v>1358</v>
      </c>
      <c r="HF151" s="5" t="s">
        <v>1</v>
      </c>
      <c r="HG151" s="4" t="s">
        <v>1</v>
      </c>
      <c r="HH151" t="s">
        <v>1</v>
      </c>
      <c r="HI151" t="s">
        <v>1</v>
      </c>
      <c r="HJ151" t="s">
        <v>1</v>
      </c>
      <c r="HK151" t="s">
        <v>815</v>
      </c>
      <c r="HL151" s="35">
        <v>1.6</v>
      </c>
      <c r="HM151">
        <v>0</v>
      </c>
      <c r="HN151">
        <v>30</v>
      </c>
      <c r="HO151" t="s">
        <v>1451</v>
      </c>
      <c r="HP151" s="26" t="s">
        <v>1358</v>
      </c>
      <c r="HZ151" t="s">
        <v>966</v>
      </c>
      <c r="IA151">
        <v>270</v>
      </c>
      <c r="IB151" s="5" t="s">
        <v>1</v>
      </c>
      <c r="IC151" s="5"/>
      <c r="ID151" s="5"/>
      <c r="IE151" s="10" t="s">
        <v>1</v>
      </c>
      <c r="IF151" s="10" t="s">
        <v>1</v>
      </c>
      <c r="IG151" s="10"/>
      <c r="IH151" s="10"/>
      <c r="II151" s="10"/>
      <c r="IJ151" s="10"/>
      <c r="IK151" s="10"/>
      <c r="IL151" s="10"/>
      <c r="IM151" s="10"/>
      <c r="IN151" s="10"/>
      <c r="IO151" s="10"/>
      <c r="IP151" s="10"/>
      <c r="IQ151" s="10"/>
      <c r="IR151" s="10"/>
      <c r="IS151" t="s">
        <v>1</v>
      </c>
      <c r="IT151" t="s">
        <v>1</v>
      </c>
      <c r="IW151" t="s">
        <v>1</v>
      </c>
      <c r="IX151" t="s">
        <v>1</v>
      </c>
      <c r="IY151" t="s">
        <v>808</v>
      </c>
      <c r="IZ151">
        <v>2370</v>
      </c>
      <c r="JA151" t="s">
        <v>1</v>
      </c>
      <c r="JB151" s="3" t="s">
        <v>1</v>
      </c>
      <c r="JC151" t="s">
        <v>1</v>
      </c>
      <c r="JD151" s="4" t="s">
        <v>1</v>
      </c>
      <c r="JE151" t="s">
        <v>810</v>
      </c>
      <c r="JF151">
        <v>100</v>
      </c>
      <c r="JR151" t="s">
        <v>1066</v>
      </c>
      <c r="JS151">
        <v>664</v>
      </c>
      <c r="JU151" t="s">
        <v>1</v>
      </c>
      <c r="JW151" t="s">
        <v>1</v>
      </c>
      <c r="JX151">
        <v>0</v>
      </c>
      <c r="JY151">
        <v>140</v>
      </c>
      <c r="JZ151" t="s">
        <v>800</v>
      </c>
      <c r="KA151" t="s">
        <v>155</v>
      </c>
      <c r="KB151" t="s">
        <v>738</v>
      </c>
      <c r="KC151" t="s">
        <v>1</v>
      </c>
      <c r="KD151" t="s">
        <v>1</v>
      </c>
      <c r="KE151" t="s">
        <v>1</v>
      </c>
      <c r="KF151" t="s">
        <v>1</v>
      </c>
      <c r="KG151" t="s">
        <v>1</v>
      </c>
      <c r="KH151" t="s">
        <v>1</v>
      </c>
      <c r="KI151" t="s">
        <v>1</v>
      </c>
      <c r="KJ151" t="s">
        <v>1</v>
      </c>
      <c r="KK151" t="s">
        <v>1</v>
      </c>
    </row>
    <row r="152" spans="1:297" x14ac:dyDescent="0.2">
      <c r="A152">
        <v>151</v>
      </c>
      <c r="B152" t="s">
        <v>705</v>
      </c>
      <c r="C152" t="s">
        <v>172</v>
      </c>
      <c r="D152" t="s">
        <v>167</v>
      </c>
      <c r="E152">
        <v>22</v>
      </c>
      <c r="F152" t="s">
        <v>168</v>
      </c>
      <c r="G152" t="s">
        <v>1</v>
      </c>
      <c r="H152" s="26" t="s">
        <v>1420</v>
      </c>
      <c r="I152" t="s">
        <v>1</v>
      </c>
      <c r="J152" t="s">
        <v>1</v>
      </c>
      <c r="K152" t="s">
        <v>1</v>
      </c>
      <c r="L152" t="s">
        <v>1</v>
      </c>
      <c r="M152" t="s">
        <v>1</v>
      </c>
      <c r="N152" t="s">
        <v>1</v>
      </c>
      <c r="O152" t="s">
        <v>1</v>
      </c>
      <c r="P152" t="s">
        <v>1</v>
      </c>
      <c r="Q152" t="s">
        <v>1</v>
      </c>
      <c r="R152" t="s">
        <v>1</v>
      </c>
      <c r="S152" t="s">
        <v>1</v>
      </c>
      <c r="T152" t="s">
        <v>1</v>
      </c>
      <c r="U152" t="s">
        <v>1</v>
      </c>
      <c r="V152" t="s">
        <v>1</v>
      </c>
      <c r="W152" t="s">
        <v>1</v>
      </c>
      <c r="X152" t="s">
        <v>1</v>
      </c>
      <c r="Y152" t="s">
        <v>1</v>
      </c>
      <c r="Z152" t="s">
        <v>1</v>
      </c>
      <c r="AA152" t="s">
        <v>1</v>
      </c>
      <c r="AB152" t="s">
        <v>1</v>
      </c>
      <c r="AC152" t="s">
        <v>1</v>
      </c>
      <c r="AD152" t="s">
        <v>1</v>
      </c>
      <c r="AE152" t="s">
        <v>1</v>
      </c>
      <c r="AF152" t="s">
        <v>1</v>
      </c>
      <c r="AG152" t="s">
        <v>1</v>
      </c>
      <c r="AH152" t="s">
        <v>1</v>
      </c>
      <c r="AI152" t="s">
        <v>1</v>
      </c>
      <c r="AJ152" t="s">
        <v>1</v>
      </c>
      <c r="AK152" t="s">
        <v>1</v>
      </c>
      <c r="AL152" t="s">
        <v>1</v>
      </c>
      <c r="AM152" t="s">
        <v>1</v>
      </c>
      <c r="AN152">
        <v>151</v>
      </c>
      <c r="AO152">
        <f t="shared" si="12"/>
        <v>151</v>
      </c>
      <c r="AP152">
        <f t="shared" si="10"/>
        <v>22</v>
      </c>
      <c r="AQ152">
        <f t="shared" si="11"/>
        <v>22</v>
      </c>
      <c r="AR152" s="26" t="s">
        <v>1355</v>
      </c>
      <c r="AS152" s="26" t="s">
        <v>1356</v>
      </c>
      <c r="AT152" t="s">
        <v>713</v>
      </c>
      <c r="AU152" t="s">
        <v>1</v>
      </c>
      <c r="AV152" t="s">
        <v>1</v>
      </c>
      <c r="AW152">
        <v>45.39</v>
      </c>
      <c r="AX152">
        <v>-93.89</v>
      </c>
      <c r="AY152" t="s">
        <v>737</v>
      </c>
      <c r="BA152" s="3">
        <v>4</v>
      </c>
      <c r="BB152" s="3"/>
      <c r="BC152" s="3"/>
      <c r="BD152" s="3"/>
      <c r="BE152" s="3"/>
      <c r="BF152">
        <v>1991</v>
      </c>
      <c r="BG152" s="24" t="s">
        <v>733</v>
      </c>
      <c r="BH152" s="24" t="s">
        <v>733</v>
      </c>
      <c r="BI152" s="24" t="s">
        <v>733</v>
      </c>
      <c r="BJ152" s="24" t="s">
        <v>732</v>
      </c>
      <c r="BK152" s="24" t="s">
        <v>733</v>
      </c>
      <c r="BL152" s="25" t="s">
        <v>733</v>
      </c>
      <c r="BM152" s="24" t="s">
        <v>733</v>
      </c>
      <c r="BN152" s="24" t="s">
        <v>732</v>
      </c>
      <c r="BO152" s="24" t="s">
        <v>733</v>
      </c>
      <c r="BP152" s="24" t="s">
        <v>733</v>
      </c>
      <c r="BQ152" s="24" t="s">
        <v>945</v>
      </c>
      <c r="BR152" s="24" t="s">
        <v>945</v>
      </c>
      <c r="BS152" s="25" t="s">
        <v>934</v>
      </c>
      <c r="BT152" s="24" t="s">
        <v>934</v>
      </c>
      <c r="BU152" s="24" t="s">
        <v>934</v>
      </c>
      <c r="BV152" s="24" t="s">
        <v>934</v>
      </c>
      <c r="BW152" s="24" t="s">
        <v>934</v>
      </c>
      <c r="BX152" s="24" t="s">
        <v>934</v>
      </c>
      <c r="BY152" s="25" t="s">
        <v>945</v>
      </c>
      <c r="BZ152" t="s">
        <v>22</v>
      </c>
      <c r="CB152" t="s">
        <v>1</v>
      </c>
      <c r="CC152" s="4">
        <f>AVERAGE(55.29,62.59)*1000*0.22</f>
        <v>12966.8</v>
      </c>
      <c r="CD152" s="4"/>
      <c r="CE152" s="4"/>
      <c r="CF152" t="s">
        <v>793</v>
      </c>
      <c r="CG152">
        <v>100</v>
      </c>
      <c r="CH152" t="s">
        <v>805</v>
      </c>
      <c r="CI152" s="28">
        <v>0.6</v>
      </c>
      <c r="CJ152" s="10" t="s">
        <v>1443</v>
      </c>
      <c r="CK152" s="9" t="s">
        <v>1</v>
      </c>
      <c r="CL152" s="4" t="s">
        <v>1</v>
      </c>
      <c r="CM152" t="s">
        <v>847</v>
      </c>
      <c r="CN152" s="4">
        <f>AVERAGE(145.3,233.6)</f>
        <v>189.45</v>
      </c>
      <c r="CO152" s="4"/>
      <c r="CP152" s="4" t="s">
        <v>1</v>
      </c>
      <c r="CQ152" s="4" t="s">
        <v>1</v>
      </c>
      <c r="CR152" s="4" t="s">
        <v>1</v>
      </c>
      <c r="CS152" s="4" t="s">
        <v>1</v>
      </c>
      <c r="CT152" s="4" t="s">
        <v>1</v>
      </c>
      <c r="CU152" s="4" t="s">
        <v>1</v>
      </c>
      <c r="CV152" t="s">
        <v>852</v>
      </c>
      <c r="CW152">
        <v>100</v>
      </c>
      <c r="CX152">
        <v>0</v>
      </c>
      <c r="CY152">
        <v>30</v>
      </c>
      <c r="CZ152" s="26" t="s">
        <v>1358</v>
      </c>
      <c r="DA152" t="s">
        <v>734</v>
      </c>
      <c r="DB152">
        <v>83</v>
      </c>
      <c r="DC152">
        <v>0</v>
      </c>
      <c r="DD152">
        <v>30</v>
      </c>
      <c r="DE152" s="26" t="s">
        <v>1358</v>
      </c>
      <c r="DF152" t="s">
        <v>735</v>
      </c>
      <c r="DG152">
        <v>9.5</v>
      </c>
      <c r="DH152">
        <v>0</v>
      </c>
      <c r="DI152">
        <v>30</v>
      </c>
      <c r="DJ152" s="26" t="s">
        <v>1358</v>
      </c>
      <c r="DK152" t="s">
        <v>736</v>
      </c>
      <c r="DL152">
        <v>7.5</v>
      </c>
      <c r="DM152">
        <v>0</v>
      </c>
      <c r="DN152">
        <v>30</v>
      </c>
      <c r="DO152" s="26" t="s">
        <v>1358</v>
      </c>
      <c r="DP152" t="s">
        <v>6</v>
      </c>
      <c r="DQ152" t="s">
        <v>1</v>
      </c>
      <c r="DR152">
        <v>6.7</v>
      </c>
      <c r="DS152">
        <v>0</v>
      </c>
      <c r="DT152">
        <v>30</v>
      </c>
      <c r="DU152" s="26" t="s">
        <v>1358</v>
      </c>
      <c r="EA152" t="s">
        <v>982</v>
      </c>
      <c r="EB152">
        <v>14.5</v>
      </c>
      <c r="EC152">
        <v>0</v>
      </c>
      <c r="ED152">
        <v>30</v>
      </c>
      <c r="EE152" s="26" t="s">
        <v>1358</v>
      </c>
      <c r="EF152" s="26"/>
      <c r="FZ152" t="s">
        <v>806</v>
      </c>
      <c r="GA152">
        <v>620.5</v>
      </c>
      <c r="GE152" s="26" t="s">
        <v>1358</v>
      </c>
      <c r="HA152" s="5" t="s">
        <v>1069</v>
      </c>
      <c r="HB152" s="4">
        <v>9.8450000000000006</v>
      </c>
      <c r="HC152">
        <v>0</v>
      </c>
      <c r="HD152">
        <v>30</v>
      </c>
      <c r="HE152" s="26" t="s">
        <v>1358</v>
      </c>
      <c r="HF152" s="5" t="s">
        <v>1</v>
      </c>
      <c r="HG152" s="4" t="s">
        <v>1</v>
      </c>
      <c r="HH152" t="s">
        <v>1</v>
      </c>
      <c r="HI152" t="s">
        <v>1</v>
      </c>
      <c r="HJ152" t="s">
        <v>1</v>
      </c>
      <c r="HK152" t="s">
        <v>815</v>
      </c>
      <c r="HL152" s="35">
        <v>1.6</v>
      </c>
      <c r="HM152">
        <v>0</v>
      </c>
      <c r="HN152">
        <v>30</v>
      </c>
      <c r="HO152" t="s">
        <v>1451</v>
      </c>
      <c r="HP152" s="26" t="s">
        <v>1358</v>
      </c>
      <c r="HZ152" t="s">
        <v>966</v>
      </c>
      <c r="IA152">
        <v>270</v>
      </c>
      <c r="IB152" s="5" t="s">
        <v>1</v>
      </c>
      <c r="IC152" s="5"/>
      <c r="ID152" s="5"/>
      <c r="IE152" s="10" t="s">
        <v>1</v>
      </c>
      <c r="IF152" s="10" t="s">
        <v>1</v>
      </c>
      <c r="IG152" s="10"/>
      <c r="IH152" s="10"/>
      <c r="II152" s="10"/>
      <c r="IJ152" s="10"/>
      <c r="IK152" s="10"/>
      <c r="IL152" s="10"/>
      <c r="IM152" s="10"/>
      <c r="IN152" s="10"/>
      <c r="IO152" s="10"/>
      <c r="IP152" s="10"/>
      <c r="IQ152" s="10"/>
      <c r="IR152" s="10"/>
      <c r="IS152" t="s">
        <v>1</v>
      </c>
      <c r="IT152" t="s">
        <v>1</v>
      </c>
      <c r="IW152" t="s">
        <v>1</v>
      </c>
      <c r="IX152" t="s">
        <v>1</v>
      </c>
      <c r="IY152" t="s">
        <v>808</v>
      </c>
      <c r="IZ152">
        <v>2370</v>
      </c>
      <c r="JA152" t="s">
        <v>1</v>
      </c>
      <c r="JB152" s="3" t="s">
        <v>1</v>
      </c>
      <c r="JC152" t="s">
        <v>1</v>
      </c>
      <c r="JD152" s="4" t="s">
        <v>1</v>
      </c>
      <c r="JE152" t="s">
        <v>810</v>
      </c>
      <c r="JF152">
        <v>100</v>
      </c>
      <c r="JR152" t="s">
        <v>1066</v>
      </c>
      <c r="JS152">
        <v>781.3</v>
      </c>
      <c r="JU152" t="s">
        <v>1</v>
      </c>
      <c r="JW152" t="s">
        <v>1</v>
      </c>
      <c r="JX152">
        <v>0</v>
      </c>
      <c r="JY152">
        <v>140</v>
      </c>
      <c r="JZ152" t="s">
        <v>800</v>
      </c>
      <c r="KA152" t="s">
        <v>155</v>
      </c>
      <c r="KB152" t="s">
        <v>738</v>
      </c>
      <c r="KC152" t="s">
        <v>1</v>
      </c>
      <c r="KD152" t="s">
        <v>1</v>
      </c>
      <c r="KE152" t="s">
        <v>1</v>
      </c>
      <c r="KF152" t="s">
        <v>1</v>
      </c>
      <c r="KG152" t="s">
        <v>1</v>
      </c>
      <c r="KH152" t="s">
        <v>1</v>
      </c>
      <c r="KI152" t="s">
        <v>1</v>
      </c>
      <c r="KJ152" t="s">
        <v>1</v>
      </c>
      <c r="KK152" t="s">
        <v>1</v>
      </c>
    </row>
    <row r="153" spans="1:297" x14ac:dyDescent="0.2">
      <c r="A153">
        <v>152</v>
      </c>
      <c r="B153" t="s">
        <v>705</v>
      </c>
      <c r="C153" t="s">
        <v>175</v>
      </c>
      <c r="D153" t="s">
        <v>173</v>
      </c>
      <c r="E153">
        <v>23</v>
      </c>
      <c r="F153" t="s">
        <v>174</v>
      </c>
      <c r="G153" t="s">
        <v>1</v>
      </c>
      <c r="H153" s="26" t="s">
        <v>1420</v>
      </c>
      <c r="I153" t="s">
        <v>1</v>
      </c>
      <c r="J153" t="s">
        <v>1</v>
      </c>
      <c r="K153" t="s">
        <v>1</v>
      </c>
      <c r="L153" t="s">
        <v>1</v>
      </c>
      <c r="M153" t="s">
        <v>1</v>
      </c>
      <c r="N153" t="s">
        <v>1</v>
      </c>
      <c r="O153" t="s">
        <v>1</v>
      </c>
      <c r="P153" t="s">
        <v>1</v>
      </c>
      <c r="Q153" t="s">
        <v>1</v>
      </c>
      <c r="R153" t="s">
        <v>1</v>
      </c>
      <c r="S153" t="s">
        <v>1</v>
      </c>
      <c r="T153" t="s">
        <v>1</v>
      </c>
      <c r="U153" t="s">
        <v>1</v>
      </c>
      <c r="V153" t="s">
        <v>1</v>
      </c>
      <c r="W153" t="s">
        <v>1</v>
      </c>
      <c r="X153" t="s">
        <v>1</v>
      </c>
      <c r="Y153" t="s">
        <v>1</v>
      </c>
      <c r="Z153" t="s">
        <v>1</v>
      </c>
      <c r="AA153" t="s">
        <v>1</v>
      </c>
      <c r="AB153" t="s">
        <v>1</v>
      </c>
      <c r="AC153" t="s">
        <v>1</v>
      </c>
      <c r="AD153" t="s">
        <v>1</v>
      </c>
      <c r="AE153" t="s">
        <v>1</v>
      </c>
      <c r="AF153" t="s">
        <v>1</v>
      </c>
      <c r="AG153" t="s">
        <v>1</v>
      </c>
      <c r="AH153" t="s">
        <v>1</v>
      </c>
      <c r="AI153" t="s">
        <v>1</v>
      </c>
      <c r="AJ153" t="s">
        <v>1</v>
      </c>
      <c r="AK153" t="s">
        <v>1</v>
      </c>
      <c r="AL153" t="s">
        <v>1</v>
      </c>
      <c r="AM153" t="s">
        <v>1</v>
      </c>
      <c r="AN153">
        <v>152</v>
      </c>
      <c r="AO153">
        <f t="shared" si="12"/>
        <v>152</v>
      </c>
      <c r="AP153">
        <f t="shared" si="10"/>
        <v>23</v>
      </c>
      <c r="AQ153">
        <f t="shared" si="11"/>
        <v>23</v>
      </c>
      <c r="AR153" s="26" t="s">
        <v>1355</v>
      </c>
      <c r="AS153" s="26" t="s">
        <v>1356</v>
      </c>
      <c r="AT153" t="s">
        <v>713</v>
      </c>
      <c r="AU153" t="s">
        <v>1</v>
      </c>
      <c r="AV153" t="s">
        <v>1</v>
      </c>
      <c r="AW153">
        <v>44.12</v>
      </c>
      <c r="AX153">
        <v>-89.53</v>
      </c>
      <c r="AY153" t="s">
        <v>737</v>
      </c>
      <c r="BA153" s="3">
        <v>4</v>
      </c>
      <c r="BB153" s="3"/>
      <c r="BC153" s="3"/>
      <c r="BD153" s="3"/>
      <c r="BE153" s="3"/>
      <c r="BF153">
        <v>2002</v>
      </c>
      <c r="BG153" s="24" t="s">
        <v>733</v>
      </c>
      <c r="BH153" s="24" t="s">
        <v>733</v>
      </c>
      <c r="BI153" s="24" t="s">
        <v>733</v>
      </c>
      <c r="BJ153" s="24" t="s">
        <v>733</v>
      </c>
      <c r="BK153" s="24" t="s">
        <v>733</v>
      </c>
      <c r="BL153" s="25" t="s">
        <v>733</v>
      </c>
      <c r="BM153" s="24" t="s">
        <v>733</v>
      </c>
      <c r="BN153" s="24" t="s">
        <v>732</v>
      </c>
      <c r="BO153" s="24" t="s">
        <v>733</v>
      </c>
      <c r="BP153" s="24" t="s">
        <v>733</v>
      </c>
      <c r="BQ153" s="24" t="s">
        <v>945</v>
      </c>
      <c r="BR153" s="24" t="s">
        <v>945</v>
      </c>
      <c r="BS153" s="25" t="s">
        <v>934</v>
      </c>
      <c r="BT153" s="24" t="s">
        <v>934</v>
      </c>
      <c r="BU153" s="24" t="s">
        <v>934</v>
      </c>
      <c r="BV153" s="24" t="s">
        <v>934</v>
      </c>
      <c r="BW153" s="24" t="s">
        <v>934</v>
      </c>
      <c r="BX153" s="24" t="s">
        <v>934</v>
      </c>
      <c r="BY153" s="25" t="s">
        <v>945</v>
      </c>
      <c r="BZ153" t="s">
        <v>22</v>
      </c>
      <c r="CB153" t="s">
        <v>1</v>
      </c>
      <c r="CC153" s="4">
        <f>35.8*1000*0.22</f>
        <v>7876</v>
      </c>
      <c r="CD153" s="4"/>
      <c r="CE153" s="4"/>
      <c r="CF153" t="s">
        <v>793</v>
      </c>
      <c r="CG153">
        <v>100</v>
      </c>
      <c r="CH153" t="s">
        <v>805</v>
      </c>
      <c r="CI153" s="29">
        <v>0.6</v>
      </c>
      <c r="CJ153" s="10" t="s">
        <v>1442</v>
      </c>
      <c r="CK153" s="9" t="s">
        <v>1</v>
      </c>
      <c r="CL153" s="4" t="s">
        <v>1</v>
      </c>
      <c r="CM153" t="s">
        <v>848</v>
      </c>
      <c r="CN153" s="4">
        <f>76.3</f>
        <v>76.3</v>
      </c>
      <c r="CO153" s="4"/>
      <c r="CP153" s="4" t="s">
        <v>1</v>
      </c>
      <c r="CQ153" s="4" t="s">
        <v>1</v>
      </c>
      <c r="CR153" s="4" t="s">
        <v>1</v>
      </c>
      <c r="CS153" s="4" t="s">
        <v>1</v>
      </c>
      <c r="CT153" s="4" t="s">
        <v>1</v>
      </c>
      <c r="CU153" s="4" t="s">
        <v>1</v>
      </c>
      <c r="CV153" t="s">
        <v>852</v>
      </c>
      <c r="CW153">
        <v>100</v>
      </c>
      <c r="CX153" t="s">
        <v>1</v>
      </c>
      <c r="CY153" t="s">
        <v>1</v>
      </c>
      <c r="CZ153" s="26" t="s">
        <v>1358</v>
      </c>
      <c r="DA153" t="s">
        <v>734</v>
      </c>
      <c r="DB153">
        <v>85</v>
      </c>
      <c r="DC153" t="s">
        <v>1</v>
      </c>
      <c r="DD153" t="s">
        <v>1</v>
      </c>
      <c r="DE153" s="26" t="s">
        <v>1358</v>
      </c>
      <c r="DF153" t="s">
        <v>735</v>
      </c>
      <c r="DG153">
        <v>8</v>
      </c>
      <c r="DH153" t="s">
        <v>1</v>
      </c>
      <c r="DI153" t="s">
        <v>1</v>
      </c>
      <c r="DJ153" s="26" t="s">
        <v>1358</v>
      </c>
      <c r="DK153" t="s">
        <v>736</v>
      </c>
      <c r="DL153">
        <v>7</v>
      </c>
      <c r="DM153" t="s">
        <v>1</v>
      </c>
      <c r="DN153" t="s">
        <v>1</v>
      </c>
      <c r="DO153" s="26" t="s">
        <v>1358</v>
      </c>
      <c r="DP153" t="s">
        <v>6</v>
      </c>
      <c r="DQ153" t="s">
        <v>1</v>
      </c>
      <c r="DR153">
        <v>5.8</v>
      </c>
      <c r="DS153" t="s">
        <v>1</v>
      </c>
      <c r="DT153" t="s">
        <v>1</v>
      </c>
      <c r="DU153" s="26" t="s">
        <v>1358</v>
      </c>
      <c r="EA153" t="s">
        <v>982</v>
      </c>
      <c r="EB153">
        <v>4.6000000000000005</v>
      </c>
      <c r="EC153" s="39">
        <v>0</v>
      </c>
      <c r="ED153" s="39">
        <v>30</v>
      </c>
      <c r="EE153" s="26" t="s">
        <v>1358</v>
      </c>
      <c r="EF153" t="s">
        <v>1464</v>
      </c>
      <c r="FZ153" t="s">
        <v>806</v>
      </c>
      <c r="GA153">
        <v>1486.666667</v>
      </c>
      <c r="GE153" s="26" t="s">
        <v>1358</v>
      </c>
      <c r="HA153" s="5" t="s">
        <v>1</v>
      </c>
      <c r="HB153" s="4" t="s">
        <v>1</v>
      </c>
      <c r="HC153" t="s">
        <v>1</v>
      </c>
      <c r="HD153" t="s">
        <v>1</v>
      </c>
      <c r="HE153" t="s">
        <v>1</v>
      </c>
      <c r="HF153" s="5" t="s">
        <v>1</v>
      </c>
      <c r="HG153" s="4" t="s">
        <v>1</v>
      </c>
      <c r="HH153" t="s">
        <v>1</v>
      </c>
      <c r="HI153" t="s">
        <v>1</v>
      </c>
      <c r="HJ153" t="s">
        <v>1</v>
      </c>
      <c r="HK153" t="s">
        <v>1</v>
      </c>
      <c r="HL153" t="s">
        <v>1</v>
      </c>
      <c r="HM153" t="s">
        <v>1</v>
      </c>
      <c r="HN153" t="s">
        <v>1</v>
      </c>
      <c r="HO153" t="s">
        <v>1</v>
      </c>
      <c r="HP153" t="s">
        <v>1</v>
      </c>
      <c r="HZ153" t="s">
        <v>1295</v>
      </c>
      <c r="IA153">
        <v>34</v>
      </c>
      <c r="IB153" s="10" t="s">
        <v>824</v>
      </c>
      <c r="IC153" s="10"/>
      <c r="ID153" s="10"/>
      <c r="IE153" s="10" t="s">
        <v>1</v>
      </c>
      <c r="IF153" s="10" t="s">
        <v>1</v>
      </c>
      <c r="IG153" s="10"/>
      <c r="IH153" s="10"/>
      <c r="II153" s="10"/>
      <c r="IJ153" s="10"/>
      <c r="IK153" s="10"/>
      <c r="IL153" s="10"/>
      <c r="IM153" s="10"/>
      <c r="IN153" s="10"/>
      <c r="IO153" s="10"/>
      <c r="IP153" s="10"/>
      <c r="IQ153" s="10"/>
      <c r="IR153" s="10"/>
      <c r="IS153" t="s">
        <v>978</v>
      </c>
      <c r="IT153" t="s">
        <v>1</v>
      </c>
      <c r="IW153" t="s">
        <v>1</v>
      </c>
      <c r="IX153" t="s">
        <v>1</v>
      </c>
      <c r="IY153" t="s">
        <v>808</v>
      </c>
      <c r="IZ153" t="s">
        <v>1</v>
      </c>
      <c r="JA153" t="s">
        <v>1</v>
      </c>
      <c r="JB153" s="3" t="s">
        <v>1</v>
      </c>
      <c r="JC153" t="s">
        <v>1</v>
      </c>
      <c r="JD153" s="4" t="s">
        <v>1</v>
      </c>
      <c r="JE153" t="s">
        <v>1</v>
      </c>
      <c r="JF153" t="s">
        <v>1</v>
      </c>
      <c r="JR153" t="s">
        <v>1066</v>
      </c>
      <c r="JS153">
        <v>209.8</v>
      </c>
      <c r="JU153" t="s">
        <v>1</v>
      </c>
      <c r="JW153" t="s">
        <v>1</v>
      </c>
      <c r="JX153">
        <v>0</v>
      </c>
      <c r="JY153">
        <v>100</v>
      </c>
      <c r="JZ153" t="s">
        <v>800</v>
      </c>
      <c r="KA153" t="s">
        <v>176</v>
      </c>
      <c r="KB153" t="s">
        <v>738</v>
      </c>
      <c r="KC153" t="s">
        <v>1</v>
      </c>
      <c r="KD153" t="s">
        <v>1</v>
      </c>
      <c r="KE153" t="s">
        <v>1</v>
      </c>
      <c r="KF153" t="s">
        <v>1</v>
      </c>
      <c r="KG153" t="s">
        <v>1</v>
      </c>
      <c r="KH153" t="s">
        <v>1</v>
      </c>
      <c r="KI153" t="s">
        <v>1</v>
      </c>
      <c r="KJ153" t="s">
        <v>1</v>
      </c>
      <c r="KK153" t="s">
        <v>1</v>
      </c>
    </row>
    <row r="154" spans="1:297" x14ac:dyDescent="0.2">
      <c r="A154">
        <v>153</v>
      </c>
      <c r="B154" t="s">
        <v>705</v>
      </c>
      <c r="C154" t="s">
        <v>177</v>
      </c>
      <c r="D154" t="s">
        <v>173</v>
      </c>
      <c r="E154">
        <v>23</v>
      </c>
      <c r="F154" t="s">
        <v>174</v>
      </c>
      <c r="G154" t="s">
        <v>1</v>
      </c>
      <c r="H154" s="26" t="s">
        <v>1420</v>
      </c>
      <c r="I154" t="s">
        <v>1</v>
      </c>
      <c r="J154" t="s">
        <v>1</v>
      </c>
      <c r="K154" t="s">
        <v>1</v>
      </c>
      <c r="L154" t="s">
        <v>1</v>
      </c>
      <c r="M154" t="s">
        <v>1</v>
      </c>
      <c r="N154" t="s">
        <v>1</v>
      </c>
      <c r="O154" t="s">
        <v>1</v>
      </c>
      <c r="P154" t="s">
        <v>1</v>
      </c>
      <c r="Q154" t="s">
        <v>1</v>
      </c>
      <c r="R154" t="s">
        <v>1</v>
      </c>
      <c r="S154" t="s">
        <v>1</v>
      </c>
      <c r="T154" t="s">
        <v>1</v>
      </c>
      <c r="U154" t="s">
        <v>1</v>
      </c>
      <c r="V154" t="s">
        <v>1</v>
      </c>
      <c r="W154" t="s">
        <v>1</v>
      </c>
      <c r="X154" t="s">
        <v>1</v>
      </c>
      <c r="Y154" t="s">
        <v>1</v>
      </c>
      <c r="Z154" t="s">
        <v>1</v>
      </c>
      <c r="AA154" t="s">
        <v>1</v>
      </c>
      <c r="AB154" t="s">
        <v>1</v>
      </c>
      <c r="AC154" t="s">
        <v>1</v>
      </c>
      <c r="AD154" t="s">
        <v>1</v>
      </c>
      <c r="AE154" t="s">
        <v>1</v>
      </c>
      <c r="AF154" t="s">
        <v>1</v>
      </c>
      <c r="AG154" t="s">
        <v>1</v>
      </c>
      <c r="AH154" t="s">
        <v>1</v>
      </c>
      <c r="AI154" t="s">
        <v>1</v>
      </c>
      <c r="AJ154" t="s">
        <v>1</v>
      </c>
      <c r="AK154" t="s">
        <v>1</v>
      </c>
      <c r="AL154" t="s">
        <v>1</v>
      </c>
      <c r="AM154" t="s">
        <v>1</v>
      </c>
      <c r="AN154">
        <v>153</v>
      </c>
      <c r="AO154">
        <f t="shared" si="12"/>
        <v>153</v>
      </c>
      <c r="AP154">
        <f t="shared" si="10"/>
        <v>23</v>
      </c>
      <c r="AQ154">
        <f t="shared" si="11"/>
        <v>23</v>
      </c>
      <c r="AR154" s="26" t="s">
        <v>1355</v>
      </c>
      <c r="AS154" s="26" t="s">
        <v>1356</v>
      </c>
      <c r="AT154" t="s">
        <v>713</v>
      </c>
      <c r="AU154" t="s">
        <v>1</v>
      </c>
      <c r="AV154" t="s">
        <v>1</v>
      </c>
      <c r="AW154">
        <v>44.12</v>
      </c>
      <c r="AX154">
        <v>-89.53</v>
      </c>
      <c r="AY154" t="s">
        <v>737</v>
      </c>
      <c r="BA154" s="3">
        <v>4</v>
      </c>
      <c r="BB154" s="3"/>
      <c r="BC154" s="3"/>
      <c r="BD154" s="3"/>
      <c r="BE154" s="3"/>
      <c r="BF154">
        <v>2002</v>
      </c>
      <c r="BG154" s="24" t="s">
        <v>733</v>
      </c>
      <c r="BH154" s="24" t="s">
        <v>733</v>
      </c>
      <c r="BI154" s="24" t="s">
        <v>733</v>
      </c>
      <c r="BJ154" s="24" t="s">
        <v>733</v>
      </c>
      <c r="BK154" s="24" t="s">
        <v>733</v>
      </c>
      <c r="BL154" s="25" t="s">
        <v>733</v>
      </c>
      <c r="BM154" s="24" t="s">
        <v>733</v>
      </c>
      <c r="BN154" s="24" t="s">
        <v>732</v>
      </c>
      <c r="BO154" s="24" t="s">
        <v>733</v>
      </c>
      <c r="BP154" s="24" t="s">
        <v>733</v>
      </c>
      <c r="BQ154" s="24" t="s">
        <v>945</v>
      </c>
      <c r="BR154" s="24" t="s">
        <v>945</v>
      </c>
      <c r="BS154" s="25" t="s">
        <v>934</v>
      </c>
      <c r="BT154" s="24" t="s">
        <v>934</v>
      </c>
      <c r="BU154" s="24" t="s">
        <v>934</v>
      </c>
      <c r="BV154" s="24" t="s">
        <v>934</v>
      </c>
      <c r="BW154" s="24" t="s">
        <v>934</v>
      </c>
      <c r="BX154" s="24" t="s">
        <v>934</v>
      </c>
      <c r="BY154" s="25" t="s">
        <v>945</v>
      </c>
      <c r="BZ154" t="s">
        <v>22</v>
      </c>
      <c r="CB154" t="s">
        <v>1</v>
      </c>
      <c r="CC154" s="4">
        <f>49*1000*0.22</f>
        <v>10780</v>
      </c>
      <c r="CD154" s="4"/>
      <c r="CE154" s="4"/>
      <c r="CF154" t="s">
        <v>793</v>
      </c>
      <c r="CG154">
        <v>100</v>
      </c>
      <c r="CH154" t="s">
        <v>805</v>
      </c>
      <c r="CI154" s="28">
        <v>0.6</v>
      </c>
      <c r="CJ154" s="10" t="s">
        <v>1442</v>
      </c>
      <c r="CK154" s="9" t="s">
        <v>1</v>
      </c>
      <c r="CL154" s="4" t="s">
        <v>1</v>
      </c>
      <c r="CM154" t="s">
        <v>848</v>
      </c>
      <c r="CN154" s="4">
        <f>120.1</f>
        <v>120.1</v>
      </c>
      <c r="CO154" s="4"/>
      <c r="CP154" s="4" t="s">
        <v>1</v>
      </c>
      <c r="CQ154" s="4" t="s">
        <v>1</v>
      </c>
      <c r="CR154" s="4" t="s">
        <v>1</v>
      </c>
      <c r="CS154" s="4" t="s">
        <v>1</v>
      </c>
      <c r="CT154" s="4" t="s">
        <v>1</v>
      </c>
      <c r="CU154" s="4" t="s">
        <v>1</v>
      </c>
      <c r="CV154" t="s">
        <v>852</v>
      </c>
      <c r="CW154">
        <v>100</v>
      </c>
      <c r="CX154" t="s">
        <v>1</v>
      </c>
      <c r="CY154" t="s">
        <v>1</v>
      </c>
      <c r="CZ154" s="26" t="s">
        <v>1358</v>
      </c>
      <c r="DA154" t="s">
        <v>734</v>
      </c>
      <c r="DB154">
        <v>85</v>
      </c>
      <c r="DC154" t="s">
        <v>1</v>
      </c>
      <c r="DD154" t="s">
        <v>1</v>
      </c>
      <c r="DE154" s="26" t="s">
        <v>1358</v>
      </c>
      <c r="DF154" t="s">
        <v>735</v>
      </c>
      <c r="DG154">
        <v>8</v>
      </c>
      <c r="DH154" t="s">
        <v>1</v>
      </c>
      <c r="DI154" t="s">
        <v>1</v>
      </c>
      <c r="DJ154" s="26" t="s">
        <v>1358</v>
      </c>
      <c r="DK154" t="s">
        <v>736</v>
      </c>
      <c r="DL154">
        <v>7</v>
      </c>
      <c r="DM154" t="s">
        <v>1</v>
      </c>
      <c r="DN154" t="s">
        <v>1</v>
      </c>
      <c r="DO154" s="26" t="s">
        <v>1358</v>
      </c>
      <c r="DP154" t="s">
        <v>6</v>
      </c>
      <c r="DQ154" t="s">
        <v>1</v>
      </c>
      <c r="DR154">
        <v>5.8</v>
      </c>
      <c r="DS154" t="s">
        <v>1</v>
      </c>
      <c r="DT154" t="s">
        <v>1</v>
      </c>
      <c r="DU154" s="26" t="s">
        <v>1358</v>
      </c>
      <c r="EA154" t="s">
        <v>982</v>
      </c>
      <c r="EB154">
        <v>4.6000000000000005</v>
      </c>
      <c r="EC154" s="39">
        <v>0</v>
      </c>
      <c r="ED154" s="39">
        <v>30</v>
      </c>
      <c r="EE154" s="26" t="s">
        <v>1358</v>
      </c>
      <c r="EF154" t="s">
        <v>1464</v>
      </c>
      <c r="FZ154" t="s">
        <v>806</v>
      </c>
      <c r="GA154">
        <v>1486.666667</v>
      </c>
      <c r="GE154" s="26" t="s">
        <v>1358</v>
      </c>
      <c r="HA154" s="5" t="s">
        <v>1</v>
      </c>
      <c r="HB154" s="4" t="s">
        <v>1</v>
      </c>
      <c r="HC154" t="s">
        <v>1</v>
      </c>
      <c r="HD154" t="s">
        <v>1</v>
      </c>
      <c r="HE154" t="s">
        <v>1</v>
      </c>
      <c r="HF154" s="5" t="s">
        <v>1</v>
      </c>
      <c r="HG154" s="4" t="s">
        <v>1</v>
      </c>
      <c r="HH154" t="s">
        <v>1</v>
      </c>
      <c r="HI154" t="s">
        <v>1</v>
      </c>
      <c r="HJ154" t="s">
        <v>1</v>
      </c>
      <c r="HK154" t="s">
        <v>1</v>
      </c>
      <c r="HL154" t="s">
        <v>1</v>
      </c>
      <c r="HM154" t="s">
        <v>1</v>
      </c>
      <c r="HN154" t="s">
        <v>1</v>
      </c>
      <c r="HO154" t="s">
        <v>1</v>
      </c>
      <c r="HP154" t="s">
        <v>1</v>
      </c>
      <c r="HZ154" t="s">
        <v>1295</v>
      </c>
      <c r="IA154">
        <v>168</v>
      </c>
      <c r="IB154" s="10" t="s">
        <v>825</v>
      </c>
      <c r="IC154" s="10"/>
      <c r="ID154" s="10"/>
      <c r="IE154" s="10" t="s">
        <v>1</v>
      </c>
      <c r="IF154" s="10" t="s">
        <v>1</v>
      </c>
      <c r="IG154" s="10"/>
      <c r="IH154" s="10"/>
      <c r="II154" s="10"/>
      <c r="IJ154" s="10"/>
      <c r="IK154" s="10"/>
      <c r="IL154" s="10"/>
      <c r="IM154" s="10"/>
      <c r="IN154" s="10"/>
      <c r="IO154" s="10"/>
      <c r="IP154" s="10"/>
      <c r="IQ154" s="10"/>
      <c r="IR154" s="10"/>
      <c r="IS154" t="s">
        <v>978</v>
      </c>
      <c r="IT154" t="s">
        <v>1</v>
      </c>
      <c r="IW154" t="s">
        <v>1</v>
      </c>
      <c r="IX154" t="s">
        <v>1</v>
      </c>
      <c r="IY154" t="s">
        <v>808</v>
      </c>
      <c r="IZ154" t="s">
        <v>1</v>
      </c>
      <c r="JA154" t="s">
        <v>1</v>
      </c>
      <c r="JB154" s="3" t="s">
        <v>1</v>
      </c>
      <c r="JC154" t="s">
        <v>1</v>
      </c>
      <c r="JD154" s="4" t="s">
        <v>1</v>
      </c>
      <c r="JE154" t="s">
        <v>1</v>
      </c>
      <c r="JF154" t="s">
        <v>1</v>
      </c>
      <c r="JR154" t="s">
        <v>1066</v>
      </c>
      <c r="JS154">
        <v>271.5</v>
      </c>
      <c r="JU154" t="s">
        <v>1</v>
      </c>
      <c r="JW154" t="s">
        <v>1</v>
      </c>
      <c r="JX154">
        <v>0</v>
      </c>
      <c r="JY154">
        <v>100</v>
      </c>
      <c r="JZ154" t="s">
        <v>800</v>
      </c>
      <c r="KA154" t="s">
        <v>176</v>
      </c>
      <c r="KB154" t="s">
        <v>738</v>
      </c>
      <c r="KC154" t="s">
        <v>1</v>
      </c>
      <c r="KD154" t="s">
        <v>1</v>
      </c>
      <c r="KE154" t="s">
        <v>1</v>
      </c>
      <c r="KF154" t="s">
        <v>1</v>
      </c>
      <c r="KG154" t="s">
        <v>1</v>
      </c>
      <c r="KH154" t="s">
        <v>1</v>
      </c>
      <c r="KI154" t="s">
        <v>1</v>
      </c>
      <c r="KJ154" t="s">
        <v>1</v>
      </c>
      <c r="KK154" t="s">
        <v>1</v>
      </c>
    </row>
    <row r="155" spans="1:297" x14ac:dyDescent="0.2">
      <c r="A155">
        <v>154</v>
      </c>
      <c r="B155" t="s">
        <v>705</v>
      </c>
      <c r="C155" t="s">
        <v>178</v>
      </c>
      <c r="D155" t="s">
        <v>173</v>
      </c>
      <c r="E155">
        <v>23</v>
      </c>
      <c r="F155" t="s">
        <v>174</v>
      </c>
      <c r="G155" t="s">
        <v>1</v>
      </c>
      <c r="H155" s="26" t="s">
        <v>1420</v>
      </c>
      <c r="I155" t="s">
        <v>1</v>
      </c>
      <c r="J155" t="s">
        <v>1</v>
      </c>
      <c r="K155" t="s">
        <v>1</v>
      </c>
      <c r="L155" t="s">
        <v>1</v>
      </c>
      <c r="M155" t="s">
        <v>1</v>
      </c>
      <c r="N155" t="s">
        <v>1</v>
      </c>
      <c r="O155" t="s">
        <v>1</v>
      </c>
      <c r="P155" t="s">
        <v>1</v>
      </c>
      <c r="Q155" t="s">
        <v>1</v>
      </c>
      <c r="R155" t="s">
        <v>1</v>
      </c>
      <c r="S155" t="s">
        <v>1</v>
      </c>
      <c r="T155" t="s">
        <v>1</v>
      </c>
      <c r="U155" t="s">
        <v>1</v>
      </c>
      <c r="V155" t="s">
        <v>1</v>
      </c>
      <c r="W155" t="s">
        <v>1</v>
      </c>
      <c r="X155" t="s">
        <v>1</v>
      </c>
      <c r="Y155" t="s">
        <v>1</v>
      </c>
      <c r="Z155" t="s">
        <v>1</v>
      </c>
      <c r="AA155" t="s">
        <v>1</v>
      </c>
      <c r="AB155" t="s">
        <v>1</v>
      </c>
      <c r="AC155" t="s">
        <v>1</v>
      </c>
      <c r="AD155" t="s">
        <v>1</v>
      </c>
      <c r="AE155" t="s">
        <v>1</v>
      </c>
      <c r="AF155" t="s">
        <v>1</v>
      </c>
      <c r="AG155" t="s">
        <v>1</v>
      </c>
      <c r="AH155" t="s">
        <v>1</v>
      </c>
      <c r="AI155" t="s">
        <v>1</v>
      </c>
      <c r="AJ155" t="s">
        <v>1</v>
      </c>
      <c r="AK155" t="s">
        <v>1</v>
      </c>
      <c r="AL155" t="s">
        <v>1</v>
      </c>
      <c r="AM155" t="s">
        <v>1</v>
      </c>
      <c r="AN155">
        <v>154</v>
      </c>
      <c r="AO155">
        <f t="shared" si="12"/>
        <v>154</v>
      </c>
      <c r="AP155">
        <f t="shared" si="10"/>
        <v>23</v>
      </c>
      <c r="AQ155">
        <f t="shared" si="11"/>
        <v>23</v>
      </c>
      <c r="AR155" s="26" t="s">
        <v>1355</v>
      </c>
      <c r="AS155" s="26" t="s">
        <v>1356</v>
      </c>
      <c r="AT155" t="s">
        <v>713</v>
      </c>
      <c r="AU155" t="s">
        <v>1</v>
      </c>
      <c r="AV155" t="s">
        <v>1</v>
      </c>
      <c r="AW155">
        <v>44.12</v>
      </c>
      <c r="AX155">
        <v>-89.53</v>
      </c>
      <c r="AY155" t="s">
        <v>737</v>
      </c>
      <c r="BA155" s="3">
        <v>4</v>
      </c>
      <c r="BB155" s="3"/>
      <c r="BC155" s="3"/>
      <c r="BD155" s="3"/>
      <c r="BE155" s="3"/>
      <c r="BF155">
        <v>2002</v>
      </c>
      <c r="BG155" s="24" t="s">
        <v>733</v>
      </c>
      <c r="BH155" s="24" t="s">
        <v>733</v>
      </c>
      <c r="BI155" s="24" t="s">
        <v>733</v>
      </c>
      <c r="BJ155" s="24" t="s">
        <v>733</v>
      </c>
      <c r="BK155" s="24" t="s">
        <v>733</v>
      </c>
      <c r="BL155" s="25" t="s">
        <v>733</v>
      </c>
      <c r="BM155" s="24" t="s">
        <v>733</v>
      </c>
      <c r="BN155" s="24" t="s">
        <v>732</v>
      </c>
      <c r="BO155" s="24" t="s">
        <v>733</v>
      </c>
      <c r="BP155" s="24" t="s">
        <v>733</v>
      </c>
      <c r="BQ155" s="24" t="s">
        <v>945</v>
      </c>
      <c r="BR155" s="24" t="s">
        <v>945</v>
      </c>
      <c r="BS155" s="25" t="s">
        <v>934</v>
      </c>
      <c r="BT155" s="24" t="s">
        <v>934</v>
      </c>
      <c r="BU155" s="24" t="s">
        <v>934</v>
      </c>
      <c r="BV155" s="24" t="s">
        <v>934</v>
      </c>
      <c r="BW155" s="24" t="s">
        <v>934</v>
      </c>
      <c r="BX155" s="24" t="s">
        <v>934</v>
      </c>
      <c r="BY155" s="25" t="s">
        <v>945</v>
      </c>
      <c r="BZ155" t="s">
        <v>22</v>
      </c>
      <c r="CB155" t="s">
        <v>1</v>
      </c>
      <c r="CC155" s="4">
        <f>54*1000*0.22</f>
        <v>11880</v>
      </c>
      <c r="CD155" s="4"/>
      <c r="CE155" s="4"/>
      <c r="CF155" t="s">
        <v>793</v>
      </c>
      <c r="CG155">
        <v>100</v>
      </c>
      <c r="CH155" t="s">
        <v>805</v>
      </c>
      <c r="CI155" s="28">
        <v>0.6</v>
      </c>
      <c r="CJ155" s="10" t="s">
        <v>1442</v>
      </c>
      <c r="CK155" s="9" t="s">
        <v>1</v>
      </c>
      <c r="CL155" s="4" t="s">
        <v>1</v>
      </c>
      <c r="CM155" t="s">
        <v>848</v>
      </c>
      <c r="CN155" s="4">
        <f>135.7</f>
        <v>135.69999999999999</v>
      </c>
      <c r="CO155" s="4"/>
      <c r="CP155" s="4" t="s">
        <v>1</v>
      </c>
      <c r="CQ155" s="4" t="s">
        <v>1</v>
      </c>
      <c r="CR155" s="4" t="s">
        <v>1</v>
      </c>
      <c r="CS155" s="4" t="s">
        <v>1</v>
      </c>
      <c r="CT155" s="4" t="s">
        <v>1</v>
      </c>
      <c r="CU155" s="4" t="s">
        <v>1</v>
      </c>
      <c r="CV155" t="s">
        <v>852</v>
      </c>
      <c r="CW155">
        <v>100</v>
      </c>
      <c r="CX155" t="s">
        <v>1</v>
      </c>
      <c r="CY155" t="s">
        <v>1</v>
      </c>
      <c r="CZ155" s="26" t="s">
        <v>1358</v>
      </c>
      <c r="DA155" t="s">
        <v>734</v>
      </c>
      <c r="DB155">
        <v>85</v>
      </c>
      <c r="DC155" t="s">
        <v>1</v>
      </c>
      <c r="DD155" t="s">
        <v>1</v>
      </c>
      <c r="DE155" s="26" t="s">
        <v>1358</v>
      </c>
      <c r="DF155" t="s">
        <v>735</v>
      </c>
      <c r="DG155">
        <v>8</v>
      </c>
      <c r="DH155" t="s">
        <v>1</v>
      </c>
      <c r="DI155" t="s">
        <v>1</v>
      </c>
      <c r="DJ155" s="26" t="s">
        <v>1358</v>
      </c>
      <c r="DK155" t="s">
        <v>736</v>
      </c>
      <c r="DL155">
        <v>7</v>
      </c>
      <c r="DM155" t="s">
        <v>1</v>
      </c>
      <c r="DN155" t="s">
        <v>1</v>
      </c>
      <c r="DO155" s="26" t="s">
        <v>1358</v>
      </c>
      <c r="DP155" t="s">
        <v>6</v>
      </c>
      <c r="DQ155" t="s">
        <v>1</v>
      </c>
      <c r="DR155">
        <v>5.8</v>
      </c>
      <c r="DS155" t="s">
        <v>1</v>
      </c>
      <c r="DT155" t="s">
        <v>1</v>
      </c>
      <c r="DU155" s="26" t="s">
        <v>1358</v>
      </c>
      <c r="EA155" t="s">
        <v>982</v>
      </c>
      <c r="EB155">
        <v>4.6000000000000005</v>
      </c>
      <c r="EC155" s="39">
        <v>0</v>
      </c>
      <c r="ED155" s="39">
        <v>30</v>
      </c>
      <c r="EE155" s="26" t="s">
        <v>1358</v>
      </c>
      <c r="EF155" t="s">
        <v>1464</v>
      </c>
      <c r="FZ155" t="s">
        <v>806</v>
      </c>
      <c r="GA155">
        <v>1486.666667</v>
      </c>
      <c r="GE155" s="26" t="s">
        <v>1358</v>
      </c>
      <c r="HA155" s="5" t="s">
        <v>1</v>
      </c>
      <c r="HB155" s="4" t="s">
        <v>1</v>
      </c>
      <c r="HC155" t="s">
        <v>1</v>
      </c>
      <c r="HD155" t="s">
        <v>1</v>
      </c>
      <c r="HE155" t="s">
        <v>1</v>
      </c>
      <c r="HF155" s="5" t="s">
        <v>1</v>
      </c>
      <c r="HG155" s="4" t="s">
        <v>1</v>
      </c>
      <c r="HH155" t="s">
        <v>1</v>
      </c>
      <c r="HI155" t="s">
        <v>1</v>
      </c>
      <c r="HJ155" t="s">
        <v>1</v>
      </c>
      <c r="HK155" t="s">
        <v>1</v>
      </c>
      <c r="HL155" t="s">
        <v>1</v>
      </c>
      <c r="HM155" t="s">
        <v>1</v>
      </c>
      <c r="HN155" t="s">
        <v>1</v>
      </c>
      <c r="HO155" t="s">
        <v>1</v>
      </c>
      <c r="HP155" t="s">
        <v>1</v>
      </c>
      <c r="HZ155" t="s">
        <v>1295</v>
      </c>
      <c r="IA155">
        <v>303</v>
      </c>
      <c r="IB155" s="10" t="s">
        <v>825</v>
      </c>
      <c r="IC155" s="10"/>
      <c r="ID155" s="10"/>
      <c r="IE155" s="10" t="s">
        <v>1</v>
      </c>
      <c r="IF155" s="10" t="s">
        <v>1</v>
      </c>
      <c r="IG155" s="10"/>
      <c r="IH155" s="10"/>
      <c r="II155" s="10"/>
      <c r="IJ155" s="10"/>
      <c r="IK155" s="10"/>
      <c r="IL155" s="10"/>
      <c r="IM155" s="10"/>
      <c r="IN155" s="10"/>
      <c r="IO155" s="10"/>
      <c r="IP155" s="10"/>
      <c r="IQ155" s="10"/>
      <c r="IR155" s="10"/>
      <c r="IS155" t="s">
        <v>978</v>
      </c>
      <c r="IT155" t="s">
        <v>1</v>
      </c>
      <c r="IW155" t="s">
        <v>1</v>
      </c>
      <c r="IX155" t="s">
        <v>1</v>
      </c>
      <c r="IY155" t="s">
        <v>808</v>
      </c>
      <c r="IZ155" t="s">
        <v>1</v>
      </c>
      <c r="JA155" t="s">
        <v>1</v>
      </c>
      <c r="JB155" s="3" t="s">
        <v>1</v>
      </c>
      <c r="JC155" t="s">
        <v>1</v>
      </c>
      <c r="JD155" s="4" t="s">
        <v>1</v>
      </c>
      <c r="JE155" t="s">
        <v>1</v>
      </c>
      <c r="JF155" t="s">
        <v>1</v>
      </c>
      <c r="JR155" t="s">
        <v>1066</v>
      </c>
      <c r="JS155">
        <v>438.1</v>
      </c>
      <c r="JU155" t="s">
        <v>1</v>
      </c>
      <c r="JW155" t="s">
        <v>1</v>
      </c>
      <c r="JX155">
        <v>0</v>
      </c>
      <c r="JY155">
        <v>100</v>
      </c>
      <c r="JZ155" t="s">
        <v>800</v>
      </c>
      <c r="KA155" t="s">
        <v>176</v>
      </c>
      <c r="KB155" t="s">
        <v>738</v>
      </c>
      <c r="KC155" t="s">
        <v>1</v>
      </c>
      <c r="KD155" t="s">
        <v>1</v>
      </c>
      <c r="KE155" t="s">
        <v>1</v>
      </c>
      <c r="KF155" t="s">
        <v>1</v>
      </c>
      <c r="KG155" t="s">
        <v>1</v>
      </c>
      <c r="KH155" t="s">
        <v>1</v>
      </c>
      <c r="KI155" t="s">
        <v>1</v>
      </c>
      <c r="KJ155" t="s">
        <v>1</v>
      </c>
      <c r="KK155" t="s">
        <v>1</v>
      </c>
    </row>
    <row r="156" spans="1:297" x14ac:dyDescent="0.2">
      <c r="A156">
        <v>155</v>
      </c>
      <c r="B156" t="s">
        <v>705</v>
      </c>
      <c r="C156" t="s">
        <v>179</v>
      </c>
      <c r="D156" t="s">
        <v>173</v>
      </c>
      <c r="E156">
        <v>23</v>
      </c>
      <c r="F156" t="s">
        <v>174</v>
      </c>
      <c r="G156" t="s">
        <v>1</v>
      </c>
      <c r="H156" s="26" t="s">
        <v>1420</v>
      </c>
      <c r="I156" t="s">
        <v>1</v>
      </c>
      <c r="J156" t="s">
        <v>1</v>
      </c>
      <c r="K156" t="s">
        <v>1</v>
      </c>
      <c r="L156" t="s">
        <v>1</v>
      </c>
      <c r="M156" t="s">
        <v>1</v>
      </c>
      <c r="N156" t="s">
        <v>1</v>
      </c>
      <c r="O156" t="s">
        <v>1</v>
      </c>
      <c r="P156" t="s">
        <v>1</v>
      </c>
      <c r="Q156" t="s">
        <v>1</v>
      </c>
      <c r="R156" t="s">
        <v>1</v>
      </c>
      <c r="S156" t="s">
        <v>1</v>
      </c>
      <c r="T156" t="s">
        <v>1</v>
      </c>
      <c r="U156" t="s">
        <v>1</v>
      </c>
      <c r="V156" t="s">
        <v>1</v>
      </c>
      <c r="W156" t="s">
        <v>1</v>
      </c>
      <c r="X156" t="s">
        <v>1</v>
      </c>
      <c r="Y156" t="s">
        <v>1</v>
      </c>
      <c r="Z156" t="s">
        <v>1</v>
      </c>
      <c r="AA156" t="s">
        <v>1</v>
      </c>
      <c r="AB156" t="s">
        <v>1</v>
      </c>
      <c r="AC156" t="s">
        <v>1</v>
      </c>
      <c r="AD156" t="s">
        <v>1</v>
      </c>
      <c r="AE156" t="s">
        <v>1</v>
      </c>
      <c r="AF156" t="s">
        <v>1</v>
      </c>
      <c r="AG156" t="s">
        <v>1</v>
      </c>
      <c r="AH156" t="s">
        <v>1</v>
      </c>
      <c r="AI156" t="s">
        <v>1</v>
      </c>
      <c r="AJ156" t="s">
        <v>1</v>
      </c>
      <c r="AK156" t="s">
        <v>1</v>
      </c>
      <c r="AL156" t="s">
        <v>1</v>
      </c>
      <c r="AM156" t="s">
        <v>1</v>
      </c>
      <c r="AN156">
        <v>155</v>
      </c>
      <c r="AO156">
        <f t="shared" si="12"/>
        <v>155</v>
      </c>
      <c r="AP156">
        <f t="shared" si="10"/>
        <v>23</v>
      </c>
      <c r="AQ156">
        <f t="shared" si="11"/>
        <v>23</v>
      </c>
      <c r="AR156" s="26" t="s">
        <v>1355</v>
      </c>
      <c r="AS156" s="26" t="s">
        <v>1356</v>
      </c>
      <c r="AT156" t="s">
        <v>713</v>
      </c>
      <c r="AU156" t="s">
        <v>1</v>
      </c>
      <c r="AV156" t="s">
        <v>1</v>
      </c>
      <c r="AW156">
        <v>44.12</v>
      </c>
      <c r="AX156">
        <v>-89.53</v>
      </c>
      <c r="AY156" t="s">
        <v>737</v>
      </c>
      <c r="BA156" s="3">
        <v>4</v>
      </c>
      <c r="BB156" s="3"/>
      <c r="BC156" s="3"/>
      <c r="BD156" s="3"/>
      <c r="BE156" s="3"/>
      <c r="BF156">
        <v>2002</v>
      </c>
      <c r="BG156" s="24" t="s">
        <v>733</v>
      </c>
      <c r="BH156" s="24" t="s">
        <v>733</v>
      </c>
      <c r="BI156" s="24" t="s">
        <v>733</v>
      </c>
      <c r="BJ156" s="24" t="s">
        <v>733</v>
      </c>
      <c r="BK156" s="24" t="s">
        <v>733</v>
      </c>
      <c r="BL156" s="25" t="s">
        <v>733</v>
      </c>
      <c r="BM156" s="24" t="s">
        <v>733</v>
      </c>
      <c r="BN156" s="24" t="s">
        <v>732</v>
      </c>
      <c r="BO156" s="24" t="s">
        <v>733</v>
      </c>
      <c r="BP156" s="24" t="s">
        <v>733</v>
      </c>
      <c r="BQ156" s="24" t="s">
        <v>945</v>
      </c>
      <c r="BR156" s="24" t="s">
        <v>945</v>
      </c>
      <c r="BS156" s="25" t="s">
        <v>934</v>
      </c>
      <c r="BT156" s="24" t="s">
        <v>934</v>
      </c>
      <c r="BU156" s="24" t="s">
        <v>934</v>
      </c>
      <c r="BV156" s="24" t="s">
        <v>934</v>
      </c>
      <c r="BW156" s="24" t="s">
        <v>934</v>
      </c>
      <c r="BX156" s="24" t="s">
        <v>934</v>
      </c>
      <c r="BY156" s="25" t="s">
        <v>945</v>
      </c>
      <c r="BZ156" t="s">
        <v>22</v>
      </c>
      <c r="CB156" t="s">
        <v>1</v>
      </c>
      <c r="CC156" s="4">
        <f>34.3*1000*0.22</f>
        <v>7546</v>
      </c>
      <c r="CD156" s="4"/>
      <c r="CE156" s="4"/>
      <c r="CF156" t="s">
        <v>793</v>
      </c>
      <c r="CG156">
        <v>100</v>
      </c>
      <c r="CH156" t="s">
        <v>805</v>
      </c>
      <c r="CI156" s="28">
        <v>0.6</v>
      </c>
      <c r="CJ156" s="10" t="s">
        <v>1442</v>
      </c>
      <c r="CK156" s="9" t="s">
        <v>1</v>
      </c>
      <c r="CL156" s="4" t="s">
        <v>1</v>
      </c>
      <c r="CM156" t="s">
        <v>848</v>
      </c>
      <c r="CN156" s="4">
        <f>74.1</f>
        <v>74.099999999999994</v>
      </c>
      <c r="CO156" s="4"/>
      <c r="CP156" s="4" t="s">
        <v>1</v>
      </c>
      <c r="CQ156" s="4" t="s">
        <v>1</v>
      </c>
      <c r="CR156" s="4" t="s">
        <v>1</v>
      </c>
      <c r="CS156" s="4" t="s">
        <v>1</v>
      </c>
      <c r="CT156" s="4" t="s">
        <v>1</v>
      </c>
      <c r="CU156" s="4" t="s">
        <v>1</v>
      </c>
      <c r="CV156" t="s">
        <v>852</v>
      </c>
      <c r="CW156">
        <v>100</v>
      </c>
      <c r="CX156" t="s">
        <v>1</v>
      </c>
      <c r="CY156" t="s">
        <v>1</v>
      </c>
      <c r="CZ156" s="26" t="s">
        <v>1358</v>
      </c>
      <c r="DA156" t="s">
        <v>734</v>
      </c>
      <c r="DB156">
        <v>85</v>
      </c>
      <c r="DC156" t="s">
        <v>1</v>
      </c>
      <c r="DD156" t="s">
        <v>1</v>
      </c>
      <c r="DE156" s="26" t="s">
        <v>1358</v>
      </c>
      <c r="DF156" t="s">
        <v>735</v>
      </c>
      <c r="DG156">
        <v>8</v>
      </c>
      <c r="DH156" t="s">
        <v>1</v>
      </c>
      <c r="DI156" t="s">
        <v>1</v>
      </c>
      <c r="DJ156" s="26" t="s">
        <v>1358</v>
      </c>
      <c r="DK156" t="s">
        <v>736</v>
      </c>
      <c r="DL156">
        <v>7</v>
      </c>
      <c r="DM156" t="s">
        <v>1</v>
      </c>
      <c r="DN156" t="s">
        <v>1</v>
      </c>
      <c r="DO156" s="26" t="s">
        <v>1358</v>
      </c>
      <c r="DP156" t="s">
        <v>6</v>
      </c>
      <c r="DQ156" t="s">
        <v>1</v>
      </c>
      <c r="DR156">
        <v>5.8</v>
      </c>
      <c r="DS156" t="s">
        <v>1</v>
      </c>
      <c r="DT156" t="s">
        <v>1</v>
      </c>
      <c r="DU156" s="26" t="s">
        <v>1358</v>
      </c>
      <c r="EA156" t="s">
        <v>982</v>
      </c>
      <c r="EB156">
        <v>4.6000000000000005</v>
      </c>
      <c r="EC156" s="39">
        <v>0</v>
      </c>
      <c r="ED156" s="39">
        <v>30</v>
      </c>
      <c r="EE156" s="26" t="s">
        <v>1358</v>
      </c>
      <c r="EF156" t="s">
        <v>1464</v>
      </c>
      <c r="FZ156" t="s">
        <v>806</v>
      </c>
      <c r="GA156">
        <v>1486.666667</v>
      </c>
      <c r="GE156" s="26" t="s">
        <v>1358</v>
      </c>
      <c r="HA156" s="5" t="s">
        <v>1</v>
      </c>
      <c r="HB156" s="4" t="s">
        <v>1</v>
      </c>
      <c r="HC156" t="s">
        <v>1</v>
      </c>
      <c r="HD156" t="s">
        <v>1</v>
      </c>
      <c r="HE156" t="s">
        <v>1</v>
      </c>
      <c r="HF156" s="5" t="s">
        <v>1</v>
      </c>
      <c r="HG156" s="4" t="s">
        <v>1</v>
      </c>
      <c r="HH156" t="s">
        <v>1</v>
      </c>
      <c r="HI156" t="s">
        <v>1</v>
      </c>
      <c r="HJ156" t="s">
        <v>1</v>
      </c>
      <c r="HK156" t="s">
        <v>1</v>
      </c>
      <c r="HL156" t="s">
        <v>1</v>
      </c>
      <c r="HM156" t="s">
        <v>1</v>
      </c>
      <c r="HN156" t="s">
        <v>1</v>
      </c>
      <c r="HO156" t="s">
        <v>1</v>
      </c>
      <c r="HP156" t="s">
        <v>1</v>
      </c>
      <c r="HZ156" t="s">
        <v>1295</v>
      </c>
      <c r="IA156">
        <v>34</v>
      </c>
      <c r="IB156" s="10" t="s">
        <v>824</v>
      </c>
      <c r="IC156" s="10"/>
      <c r="ID156" s="10"/>
      <c r="IE156" s="10" t="s">
        <v>1</v>
      </c>
      <c r="IF156" s="10" t="s">
        <v>1</v>
      </c>
      <c r="IG156" s="10"/>
      <c r="IH156" s="10"/>
      <c r="II156" s="10"/>
      <c r="IJ156" s="10"/>
      <c r="IK156" s="10"/>
      <c r="IL156" s="10"/>
      <c r="IM156" s="10"/>
      <c r="IN156" s="10"/>
      <c r="IO156" s="10"/>
      <c r="IP156" s="10"/>
      <c r="IQ156" s="10"/>
      <c r="IR156" s="10"/>
      <c r="IS156" t="s">
        <v>978</v>
      </c>
      <c r="IT156" t="s">
        <v>1</v>
      </c>
      <c r="IW156" t="s">
        <v>1</v>
      </c>
      <c r="IX156" t="s">
        <v>1</v>
      </c>
      <c r="IY156" t="s">
        <v>808</v>
      </c>
      <c r="IZ156" t="s">
        <v>1</v>
      </c>
      <c r="JA156" t="s">
        <v>1</v>
      </c>
      <c r="JB156" s="3" t="s">
        <v>1</v>
      </c>
      <c r="JC156" t="s">
        <v>1</v>
      </c>
      <c r="JD156" s="4" t="s">
        <v>1</v>
      </c>
      <c r="JE156" t="s">
        <v>1</v>
      </c>
      <c r="JF156" t="s">
        <v>1</v>
      </c>
      <c r="JR156" t="s">
        <v>1066</v>
      </c>
      <c r="JS156">
        <v>198.2</v>
      </c>
      <c r="JU156" t="s">
        <v>1</v>
      </c>
      <c r="JW156" t="s">
        <v>1</v>
      </c>
      <c r="JX156">
        <v>0</v>
      </c>
      <c r="JY156">
        <v>100</v>
      </c>
      <c r="JZ156" t="s">
        <v>800</v>
      </c>
      <c r="KA156" t="s">
        <v>176</v>
      </c>
      <c r="KB156" t="s">
        <v>738</v>
      </c>
      <c r="KC156" t="s">
        <v>1</v>
      </c>
      <c r="KD156" t="s">
        <v>1</v>
      </c>
      <c r="KE156" t="s">
        <v>1</v>
      </c>
      <c r="KF156" t="s">
        <v>1</v>
      </c>
      <c r="KG156" t="s">
        <v>1</v>
      </c>
      <c r="KH156" t="s">
        <v>1</v>
      </c>
      <c r="KI156" t="s">
        <v>1</v>
      </c>
      <c r="KJ156" t="s">
        <v>1</v>
      </c>
      <c r="KK156" t="s">
        <v>1</v>
      </c>
    </row>
    <row r="157" spans="1:297" x14ac:dyDescent="0.2">
      <c r="A157">
        <v>156</v>
      </c>
      <c r="B157" t="s">
        <v>705</v>
      </c>
      <c r="C157" t="s">
        <v>180</v>
      </c>
      <c r="D157" t="s">
        <v>173</v>
      </c>
      <c r="E157">
        <v>23</v>
      </c>
      <c r="F157" t="s">
        <v>174</v>
      </c>
      <c r="G157" t="s">
        <v>1</v>
      </c>
      <c r="H157" s="26" t="s">
        <v>1420</v>
      </c>
      <c r="I157" t="s">
        <v>1</v>
      </c>
      <c r="J157" t="s">
        <v>1</v>
      </c>
      <c r="K157" t="s">
        <v>1</v>
      </c>
      <c r="L157" t="s">
        <v>1</v>
      </c>
      <c r="M157" t="s">
        <v>1</v>
      </c>
      <c r="N157" t="s">
        <v>1</v>
      </c>
      <c r="O157" t="s">
        <v>1</v>
      </c>
      <c r="P157" t="s">
        <v>1</v>
      </c>
      <c r="Q157" t="s">
        <v>1</v>
      </c>
      <c r="R157" t="s">
        <v>1</v>
      </c>
      <c r="S157" t="s">
        <v>1</v>
      </c>
      <c r="T157" t="s">
        <v>1</v>
      </c>
      <c r="U157" t="s">
        <v>1</v>
      </c>
      <c r="V157" t="s">
        <v>1</v>
      </c>
      <c r="W157" t="s">
        <v>1</v>
      </c>
      <c r="X157" t="s">
        <v>1</v>
      </c>
      <c r="Y157" t="s">
        <v>1</v>
      </c>
      <c r="Z157" t="s">
        <v>1</v>
      </c>
      <c r="AA157" t="s">
        <v>1</v>
      </c>
      <c r="AB157" t="s">
        <v>1</v>
      </c>
      <c r="AC157" t="s">
        <v>1</v>
      </c>
      <c r="AD157" t="s">
        <v>1</v>
      </c>
      <c r="AE157" t="s">
        <v>1</v>
      </c>
      <c r="AF157" t="s">
        <v>1</v>
      </c>
      <c r="AG157" t="s">
        <v>1</v>
      </c>
      <c r="AH157" t="s">
        <v>1</v>
      </c>
      <c r="AI157" t="s">
        <v>1</v>
      </c>
      <c r="AJ157" t="s">
        <v>1</v>
      </c>
      <c r="AK157" t="s">
        <v>1</v>
      </c>
      <c r="AL157" t="s">
        <v>1</v>
      </c>
      <c r="AM157" t="s">
        <v>1</v>
      </c>
      <c r="AN157">
        <v>156</v>
      </c>
      <c r="AO157">
        <f t="shared" si="12"/>
        <v>156</v>
      </c>
      <c r="AP157">
        <f t="shared" si="10"/>
        <v>23</v>
      </c>
      <c r="AQ157">
        <f t="shared" si="11"/>
        <v>23</v>
      </c>
      <c r="AR157" s="26" t="s">
        <v>1355</v>
      </c>
      <c r="AS157" s="26" t="s">
        <v>1356</v>
      </c>
      <c r="AT157" t="s">
        <v>713</v>
      </c>
      <c r="AU157" t="s">
        <v>1</v>
      </c>
      <c r="AV157" t="s">
        <v>1</v>
      </c>
      <c r="AW157">
        <v>44.12</v>
      </c>
      <c r="AX157">
        <v>-89.53</v>
      </c>
      <c r="AY157" t="s">
        <v>737</v>
      </c>
      <c r="BA157" s="3">
        <v>4</v>
      </c>
      <c r="BB157" s="3"/>
      <c r="BC157" s="3"/>
      <c r="BD157" s="3"/>
      <c r="BE157" s="3"/>
      <c r="BF157">
        <v>2002</v>
      </c>
      <c r="BG157" s="24" t="s">
        <v>733</v>
      </c>
      <c r="BH157" s="24" t="s">
        <v>733</v>
      </c>
      <c r="BI157" s="24" t="s">
        <v>733</v>
      </c>
      <c r="BJ157" s="24" t="s">
        <v>733</v>
      </c>
      <c r="BK157" s="24" t="s">
        <v>733</v>
      </c>
      <c r="BL157" s="25" t="s">
        <v>733</v>
      </c>
      <c r="BM157" s="24" t="s">
        <v>733</v>
      </c>
      <c r="BN157" s="24" t="s">
        <v>732</v>
      </c>
      <c r="BO157" s="24" t="s">
        <v>733</v>
      </c>
      <c r="BP157" s="24" t="s">
        <v>733</v>
      </c>
      <c r="BQ157" s="24" t="s">
        <v>945</v>
      </c>
      <c r="BR157" s="24" t="s">
        <v>945</v>
      </c>
      <c r="BS157" s="25" t="s">
        <v>934</v>
      </c>
      <c r="BT157" s="24" t="s">
        <v>934</v>
      </c>
      <c r="BU157" s="24" t="s">
        <v>934</v>
      </c>
      <c r="BV157" s="24" t="s">
        <v>934</v>
      </c>
      <c r="BW157" s="24" t="s">
        <v>934</v>
      </c>
      <c r="BX157" s="24" t="s">
        <v>934</v>
      </c>
      <c r="BY157" s="25" t="s">
        <v>945</v>
      </c>
      <c r="BZ157" t="s">
        <v>22</v>
      </c>
      <c r="CB157" t="s">
        <v>1</v>
      </c>
      <c r="CC157" s="4">
        <f>50.6*1000*0.22</f>
        <v>11132</v>
      </c>
      <c r="CD157" s="4"/>
      <c r="CE157" s="4"/>
      <c r="CF157" t="s">
        <v>793</v>
      </c>
      <c r="CG157">
        <v>100</v>
      </c>
      <c r="CH157" t="s">
        <v>805</v>
      </c>
      <c r="CI157" s="28">
        <v>0.6</v>
      </c>
      <c r="CJ157" s="10" t="s">
        <v>1442</v>
      </c>
      <c r="CK157" s="9" t="s">
        <v>1</v>
      </c>
      <c r="CL157" s="4" t="s">
        <v>1</v>
      </c>
      <c r="CM157" t="s">
        <v>848</v>
      </c>
      <c r="CN157" s="4">
        <f>131.4</f>
        <v>131.4</v>
      </c>
      <c r="CO157" s="4"/>
      <c r="CP157" s="4" t="s">
        <v>1</v>
      </c>
      <c r="CQ157" s="4" t="s">
        <v>1</v>
      </c>
      <c r="CR157" s="4" t="s">
        <v>1</v>
      </c>
      <c r="CS157" s="4" t="s">
        <v>1</v>
      </c>
      <c r="CT157" s="4" t="s">
        <v>1</v>
      </c>
      <c r="CU157" s="4" t="s">
        <v>1</v>
      </c>
      <c r="CV157" t="s">
        <v>852</v>
      </c>
      <c r="CW157">
        <v>100</v>
      </c>
      <c r="CX157" t="s">
        <v>1</v>
      </c>
      <c r="CY157" t="s">
        <v>1</v>
      </c>
      <c r="CZ157" s="26" t="s">
        <v>1358</v>
      </c>
      <c r="DA157" t="s">
        <v>734</v>
      </c>
      <c r="DB157">
        <v>85</v>
      </c>
      <c r="DC157" t="s">
        <v>1</v>
      </c>
      <c r="DD157" t="s">
        <v>1</v>
      </c>
      <c r="DE157" s="26" t="s">
        <v>1358</v>
      </c>
      <c r="DF157" t="s">
        <v>735</v>
      </c>
      <c r="DG157">
        <v>8</v>
      </c>
      <c r="DH157" t="s">
        <v>1</v>
      </c>
      <c r="DI157" t="s">
        <v>1</v>
      </c>
      <c r="DJ157" s="26" t="s">
        <v>1358</v>
      </c>
      <c r="DK157" t="s">
        <v>736</v>
      </c>
      <c r="DL157">
        <v>7</v>
      </c>
      <c r="DM157" t="s">
        <v>1</v>
      </c>
      <c r="DN157" t="s">
        <v>1</v>
      </c>
      <c r="DO157" s="26" t="s">
        <v>1358</v>
      </c>
      <c r="DP157" t="s">
        <v>6</v>
      </c>
      <c r="DQ157" t="s">
        <v>1</v>
      </c>
      <c r="DR157">
        <v>5.8</v>
      </c>
      <c r="DS157" t="s">
        <v>1</v>
      </c>
      <c r="DT157" t="s">
        <v>1</v>
      </c>
      <c r="DU157" s="26" t="s">
        <v>1358</v>
      </c>
      <c r="EA157" t="s">
        <v>982</v>
      </c>
      <c r="EB157">
        <v>4.6000000000000005</v>
      </c>
      <c r="EC157" s="39">
        <v>0</v>
      </c>
      <c r="ED157" s="39">
        <v>30</v>
      </c>
      <c r="EE157" s="26" t="s">
        <v>1358</v>
      </c>
      <c r="EF157" t="s">
        <v>1464</v>
      </c>
      <c r="FZ157" t="s">
        <v>806</v>
      </c>
      <c r="GA157">
        <v>1486.666667</v>
      </c>
      <c r="GE157" s="26" t="s">
        <v>1358</v>
      </c>
      <c r="HA157" s="5" t="s">
        <v>1</v>
      </c>
      <c r="HB157" s="4" t="s">
        <v>1</v>
      </c>
      <c r="HC157" t="s">
        <v>1</v>
      </c>
      <c r="HD157" t="s">
        <v>1</v>
      </c>
      <c r="HE157" t="s">
        <v>1</v>
      </c>
      <c r="HF157" s="5" t="s">
        <v>1</v>
      </c>
      <c r="HG157" s="4" t="s">
        <v>1</v>
      </c>
      <c r="HH157" t="s">
        <v>1</v>
      </c>
      <c r="HI157" t="s">
        <v>1</v>
      </c>
      <c r="HJ157" t="s">
        <v>1</v>
      </c>
      <c r="HK157" t="s">
        <v>1</v>
      </c>
      <c r="HL157" t="s">
        <v>1</v>
      </c>
      <c r="HM157" t="s">
        <v>1</v>
      </c>
      <c r="HN157" t="s">
        <v>1</v>
      </c>
      <c r="HO157" t="s">
        <v>1</v>
      </c>
      <c r="HP157" t="s">
        <v>1</v>
      </c>
      <c r="HZ157" t="s">
        <v>1295</v>
      </c>
      <c r="IA157">
        <v>168</v>
      </c>
      <c r="IB157" s="10" t="s">
        <v>825</v>
      </c>
      <c r="IC157" s="10"/>
      <c r="ID157" s="10"/>
      <c r="IE157" s="10" t="s">
        <v>1</v>
      </c>
      <c r="IF157" s="10" t="s">
        <v>1</v>
      </c>
      <c r="IG157" s="10"/>
      <c r="IH157" s="10"/>
      <c r="II157" s="10"/>
      <c r="IJ157" s="10"/>
      <c r="IK157" s="10"/>
      <c r="IL157" s="10"/>
      <c r="IM157" s="10"/>
      <c r="IN157" s="10"/>
      <c r="IO157" s="10"/>
      <c r="IP157" s="10"/>
      <c r="IQ157" s="10"/>
      <c r="IR157" s="10"/>
      <c r="IS157" t="s">
        <v>978</v>
      </c>
      <c r="IT157" t="s">
        <v>1</v>
      </c>
      <c r="IW157" t="s">
        <v>1</v>
      </c>
      <c r="IX157" t="s">
        <v>1</v>
      </c>
      <c r="IY157" t="s">
        <v>808</v>
      </c>
      <c r="IZ157" t="s">
        <v>1</v>
      </c>
      <c r="JA157" t="s">
        <v>1</v>
      </c>
      <c r="JB157" s="3" t="s">
        <v>1</v>
      </c>
      <c r="JC157" t="s">
        <v>1</v>
      </c>
      <c r="JD157" s="4" t="s">
        <v>1</v>
      </c>
      <c r="JE157" t="s">
        <v>1</v>
      </c>
      <c r="JF157" t="s">
        <v>1</v>
      </c>
      <c r="JR157" t="s">
        <v>1066</v>
      </c>
      <c r="JS157">
        <v>256.7</v>
      </c>
      <c r="JU157" t="s">
        <v>1</v>
      </c>
      <c r="JW157" t="s">
        <v>1</v>
      </c>
      <c r="JX157">
        <v>0</v>
      </c>
      <c r="JY157">
        <v>100</v>
      </c>
      <c r="JZ157" t="s">
        <v>800</v>
      </c>
      <c r="KA157" t="s">
        <v>176</v>
      </c>
      <c r="KB157" t="s">
        <v>738</v>
      </c>
      <c r="KC157" t="s">
        <v>1</v>
      </c>
      <c r="KD157" t="s">
        <v>1</v>
      </c>
      <c r="KE157" t="s">
        <v>1</v>
      </c>
      <c r="KF157" t="s">
        <v>1</v>
      </c>
      <c r="KG157" t="s">
        <v>1</v>
      </c>
      <c r="KH157" t="s">
        <v>1</v>
      </c>
      <c r="KI157" t="s">
        <v>1</v>
      </c>
      <c r="KJ157" t="s">
        <v>1</v>
      </c>
      <c r="KK157" t="s">
        <v>1</v>
      </c>
    </row>
    <row r="158" spans="1:297" x14ac:dyDescent="0.2">
      <c r="A158">
        <v>157</v>
      </c>
      <c r="B158" t="s">
        <v>705</v>
      </c>
      <c r="C158" t="s">
        <v>181</v>
      </c>
      <c r="D158" t="s">
        <v>173</v>
      </c>
      <c r="E158">
        <v>23</v>
      </c>
      <c r="F158" t="s">
        <v>174</v>
      </c>
      <c r="G158" t="s">
        <v>1</v>
      </c>
      <c r="H158" s="26" t="s">
        <v>1420</v>
      </c>
      <c r="I158" t="s">
        <v>1</v>
      </c>
      <c r="J158" t="s">
        <v>1</v>
      </c>
      <c r="K158" t="s">
        <v>1</v>
      </c>
      <c r="L158" t="s">
        <v>1</v>
      </c>
      <c r="M158" t="s">
        <v>1</v>
      </c>
      <c r="N158" t="s">
        <v>1</v>
      </c>
      <c r="O158" t="s">
        <v>1</v>
      </c>
      <c r="P158" t="s">
        <v>1</v>
      </c>
      <c r="Q158" t="s">
        <v>1</v>
      </c>
      <c r="R158" t="s">
        <v>1</v>
      </c>
      <c r="S158" t="s">
        <v>1</v>
      </c>
      <c r="T158" t="s">
        <v>1</v>
      </c>
      <c r="U158" t="s">
        <v>1</v>
      </c>
      <c r="V158" t="s">
        <v>1</v>
      </c>
      <c r="W158" t="s">
        <v>1</v>
      </c>
      <c r="X158" t="s">
        <v>1</v>
      </c>
      <c r="Y158" t="s">
        <v>1</v>
      </c>
      <c r="Z158" t="s">
        <v>1</v>
      </c>
      <c r="AA158" t="s">
        <v>1</v>
      </c>
      <c r="AB158" t="s">
        <v>1</v>
      </c>
      <c r="AC158" t="s">
        <v>1</v>
      </c>
      <c r="AD158" t="s">
        <v>1</v>
      </c>
      <c r="AE158" t="s">
        <v>1</v>
      </c>
      <c r="AF158" t="s">
        <v>1</v>
      </c>
      <c r="AG158" t="s">
        <v>1</v>
      </c>
      <c r="AH158" t="s">
        <v>1</v>
      </c>
      <c r="AI158" t="s">
        <v>1</v>
      </c>
      <c r="AJ158" t="s">
        <v>1</v>
      </c>
      <c r="AK158" t="s">
        <v>1</v>
      </c>
      <c r="AL158" t="s">
        <v>1</v>
      </c>
      <c r="AM158" t="s">
        <v>1</v>
      </c>
      <c r="AN158">
        <v>157</v>
      </c>
      <c r="AO158">
        <f t="shared" si="12"/>
        <v>157</v>
      </c>
      <c r="AP158">
        <f t="shared" si="10"/>
        <v>23</v>
      </c>
      <c r="AQ158">
        <f t="shared" si="11"/>
        <v>23</v>
      </c>
      <c r="AR158" s="26" t="s">
        <v>1355</v>
      </c>
      <c r="AS158" s="26" t="s">
        <v>1356</v>
      </c>
      <c r="AT158" t="s">
        <v>713</v>
      </c>
      <c r="AU158" t="s">
        <v>1</v>
      </c>
      <c r="AV158" t="s">
        <v>1</v>
      </c>
      <c r="AW158">
        <v>44.12</v>
      </c>
      <c r="AX158">
        <v>-89.53</v>
      </c>
      <c r="AY158" t="s">
        <v>737</v>
      </c>
      <c r="BA158" s="3">
        <v>4</v>
      </c>
      <c r="BB158" s="3"/>
      <c r="BC158" s="3"/>
      <c r="BD158" s="3"/>
      <c r="BE158" s="3"/>
      <c r="BF158">
        <v>2002</v>
      </c>
      <c r="BG158" s="24" t="s">
        <v>733</v>
      </c>
      <c r="BH158" s="24" t="s">
        <v>733</v>
      </c>
      <c r="BI158" s="24" t="s">
        <v>733</v>
      </c>
      <c r="BJ158" s="24" t="s">
        <v>733</v>
      </c>
      <c r="BK158" s="24" t="s">
        <v>733</v>
      </c>
      <c r="BL158" s="25" t="s">
        <v>733</v>
      </c>
      <c r="BM158" s="24" t="s">
        <v>733</v>
      </c>
      <c r="BN158" s="24" t="s">
        <v>732</v>
      </c>
      <c r="BO158" s="24" t="s">
        <v>733</v>
      </c>
      <c r="BP158" s="24" t="s">
        <v>733</v>
      </c>
      <c r="BQ158" s="24" t="s">
        <v>945</v>
      </c>
      <c r="BR158" s="24" t="s">
        <v>945</v>
      </c>
      <c r="BS158" s="25" t="s">
        <v>934</v>
      </c>
      <c r="BT158" s="24" t="s">
        <v>934</v>
      </c>
      <c r="BU158" s="24" t="s">
        <v>934</v>
      </c>
      <c r="BV158" s="24" t="s">
        <v>934</v>
      </c>
      <c r="BW158" s="24" t="s">
        <v>934</v>
      </c>
      <c r="BX158" s="24" t="s">
        <v>934</v>
      </c>
      <c r="BY158" s="25" t="s">
        <v>945</v>
      </c>
      <c r="BZ158" t="s">
        <v>22</v>
      </c>
      <c r="CB158" t="s">
        <v>1</v>
      </c>
      <c r="CC158" s="4">
        <f>54*1000*0.22</f>
        <v>11880</v>
      </c>
      <c r="CD158" s="4"/>
      <c r="CE158" s="4"/>
      <c r="CF158" t="s">
        <v>793</v>
      </c>
      <c r="CG158">
        <v>100</v>
      </c>
      <c r="CH158" t="s">
        <v>805</v>
      </c>
      <c r="CI158" s="28">
        <v>0.6</v>
      </c>
      <c r="CJ158" s="10" t="s">
        <v>1442</v>
      </c>
      <c r="CK158" s="9" t="s">
        <v>1</v>
      </c>
      <c r="CL158" s="4" t="s">
        <v>1</v>
      </c>
      <c r="CM158" t="s">
        <v>848</v>
      </c>
      <c r="CN158" s="4">
        <f>148.2</f>
        <v>148.19999999999999</v>
      </c>
      <c r="CO158" s="4"/>
      <c r="CP158" s="4" t="s">
        <v>1</v>
      </c>
      <c r="CQ158" s="4" t="s">
        <v>1</v>
      </c>
      <c r="CR158" s="4" t="s">
        <v>1</v>
      </c>
      <c r="CS158" s="4" t="s">
        <v>1</v>
      </c>
      <c r="CT158" s="4" t="s">
        <v>1</v>
      </c>
      <c r="CU158" s="4" t="s">
        <v>1</v>
      </c>
      <c r="CV158" t="s">
        <v>852</v>
      </c>
      <c r="CW158">
        <v>100</v>
      </c>
      <c r="CX158" t="s">
        <v>1</v>
      </c>
      <c r="CY158" t="s">
        <v>1</v>
      </c>
      <c r="CZ158" s="26" t="s">
        <v>1358</v>
      </c>
      <c r="DA158" t="s">
        <v>734</v>
      </c>
      <c r="DB158">
        <v>85</v>
      </c>
      <c r="DC158" t="s">
        <v>1</v>
      </c>
      <c r="DD158" t="s">
        <v>1</v>
      </c>
      <c r="DE158" s="26" t="s">
        <v>1358</v>
      </c>
      <c r="DF158" t="s">
        <v>735</v>
      </c>
      <c r="DG158">
        <v>8</v>
      </c>
      <c r="DH158" t="s">
        <v>1</v>
      </c>
      <c r="DI158" t="s">
        <v>1</v>
      </c>
      <c r="DJ158" s="26" t="s">
        <v>1358</v>
      </c>
      <c r="DK158" t="s">
        <v>736</v>
      </c>
      <c r="DL158">
        <v>7</v>
      </c>
      <c r="DM158" t="s">
        <v>1</v>
      </c>
      <c r="DN158" t="s">
        <v>1</v>
      </c>
      <c r="DO158" s="26" t="s">
        <v>1358</v>
      </c>
      <c r="DP158" t="s">
        <v>6</v>
      </c>
      <c r="DQ158" t="s">
        <v>1</v>
      </c>
      <c r="DR158">
        <v>5.8</v>
      </c>
      <c r="DS158" t="s">
        <v>1</v>
      </c>
      <c r="DT158" t="s">
        <v>1</v>
      </c>
      <c r="DU158" s="26" t="s">
        <v>1358</v>
      </c>
      <c r="EA158" t="s">
        <v>982</v>
      </c>
      <c r="EB158">
        <v>4.6000000000000005</v>
      </c>
      <c r="EC158" s="39">
        <v>0</v>
      </c>
      <c r="ED158" s="39">
        <v>30</v>
      </c>
      <c r="EE158" s="26" t="s">
        <v>1358</v>
      </c>
      <c r="EF158" t="s">
        <v>1464</v>
      </c>
      <c r="FZ158" t="s">
        <v>806</v>
      </c>
      <c r="GA158">
        <v>1486.666667</v>
      </c>
      <c r="GE158" s="26" t="s">
        <v>1358</v>
      </c>
      <c r="HA158" s="5" t="s">
        <v>1</v>
      </c>
      <c r="HB158" s="4" t="s">
        <v>1</v>
      </c>
      <c r="HC158" t="s">
        <v>1</v>
      </c>
      <c r="HD158" t="s">
        <v>1</v>
      </c>
      <c r="HE158" t="s">
        <v>1</v>
      </c>
      <c r="HF158" s="5" t="s">
        <v>1</v>
      </c>
      <c r="HG158" s="4" t="s">
        <v>1</v>
      </c>
      <c r="HH158" t="s">
        <v>1</v>
      </c>
      <c r="HI158" t="s">
        <v>1</v>
      </c>
      <c r="HJ158" t="s">
        <v>1</v>
      </c>
      <c r="HK158" t="s">
        <v>1</v>
      </c>
      <c r="HL158" t="s">
        <v>1</v>
      </c>
      <c r="HM158" t="s">
        <v>1</v>
      </c>
      <c r="HN158" t="s">
        <v>1</v>
      </c>
      <c r="HO158" t="s">
        <v>1</v>
      </c>
      <c r="HP158" t="s">
        <v>1</v>
      </c>
      <c r="HZ158" t="s">
        <v>1295</v>
      </c>
      <c r="IA158">
        <v>303</v>
      </c>
      <c r="IB158" s="10" t="s">
        <v>825</v>
      </c>
      <c r="IC158" s="10"/>
      <c r="ID158" s="10"/>
      <c r="IE158" s="10" t="s">
        <v>1</v>
      </c>
      <c r="IF158" s="10" t="s">
        <v>1</v>
      </c>
      <c r="IG158" s="10"/>
      <c r="IH158" s="10"/>
      <c r="II158" s="10"/>
      <c r="IJ158" s="10"/>
      <c r="IK158" s="10"/>
      <c r="IL158" s="10"/>
      <c r="IM158" s="10"/>
      <c r="IN158" s="10"/>
      <c r="IO158" s="10"/>
      <c r="IP158" s="10"/>
      <c r="IQ158" s="10"/>
      <c r="IR158" s="10"/>
      <c r="IS158" t="s">
        <v>978</v>
      </c>
      <c r="IT158" t="s">
        <v>1</v>
      </c>
      <c r="IW158" t="s">
        <v>1</v>
      </c>
      <c r="IX158" t="s">
        <v>1</v>
      </c>
      <c r="IY158" t="s">
        <v>808</v>
      </c>
      <c r="IZ158" t="s">
        <v>1</v>
      </c>
      <c r="JA158" t="s">
        <v>1</v>
      </c>
      <c r="JB158" s="3" t="s">
        <v>1</v>
      </c>
      <c r="JC158" t="s">
        <v>1</v>
      </c>
      <c r="JD158" s="4" t="s">
        <v>1</v>
      </c>
      <c r="JE158" t="s">
        <v>1</v>
      </c>
      <c r="JF158" t="s">
        <v>1</v>
      </c>
      <c r="JR158" t="s">
        <v>1066</v>
      </c>
      <c r="JS158">
        <v>319.8</v>
      </c>
      <c r="JU158" t="s">
        <v>1</v>
      </c>
      <c r="JW158" t="s">
        <v>1</v>
      </c>
      <c r="JX158">
        <v>0</v>
      </c>
      <c r="JY158">
        <v>100</v>
      </c>
      <c r="JZ158" t="s">
        <v>800</v>
      </c>
      <c r="KA158" t="s">
        <v>176</v>
      </c>
      <c r="KB158" t="s">
        <v>738</v>
      </c>
      <c r="KC158" t="s">
        <v>1</v>
      </c>
      <c r="KD158" t="s">
        <v>1</v>
      </c>
      <c r="KE158" t="s">
        <v>1</v>
      </c>
      <c r="KF158" t="s">
        <v>1</v>
      </c>
      <c r="KG158" t="s">
        <v>1</v>
      </c>
      <c r="KH158" t="s">
        <v>1</v>
      </c>
      <c r="KI158" t="s">
        <v>1</v>
      </c>
      <c r="KJ158" t="s">
        <v>1</v>
      </c>
      <c r="KK158" t="s">
        <v>1</v>
      </c>
    </row>
    <row r="159" spans="1:297" x14ac:dyDescent="0.2">
      <c r="A159">
        <v>158</v>
      </c>
      <c r="B159" t="s">
        <v>705</v>
      </c>
      <c r="C159" t="s">
        <v>184</v>
      </c>
      <c r="D159" t="s">
        <v>182</v>
      </c>
      <c r="E159">
        <v>24</v>
      </c>
      <c r="F159" t="s">
        <v>183</v>
      </c>
      <c r="G159" t="s">
        <v>182</v>
      </c>
      <c r="H159" s="26" t="s">
        <v>1420</v>
      </c>
      <c r="I159" t="s">
        <v>762</v>
      </c>
      <c r="J159">
        <v>1993</v>
      </c>
      <c r="K159" t="s">
        <v>1</v>
      </c>
      <c r="L159" t="s">
        <v>1</v>
      </c>
      <c r="M159" t="s">
        <v>1</v>
      </c>
      <c r="N159" t="s">
        <v>763</v>
      </c>
      <c r="O159" t="s">
        <v>1315</v>
      </c>
      <c r="P159">
        <v>4</v>
      </c>
      <c r="Q159" t="s">
        <v>764</v>
      </c>
      <c r="R159" t="s">
        <v>754</v>
      </c>
      <c r="S159" t="b">
        <v>0</v>
      </c>
      <c r="T159">
        <v>5</v>
      </c>
      <c r="U159" t="s">
        <v>757</v>
      </c>
      <c r="V159" t="s">
        <v>758</v>
      </c>
      <c r="W159" t="b">
        <v>0</v>
      </c>
      <c r="X159">
        <v>6</v>
      </c>
      <c r="Y159" t="s">
        <v>759</v>
      </c>
      <c r="Z159" t="s">
        <v>766</v>
      </c>
      <c r="AA159" t="b">
        <v>0</v>
      </c>
      <c r="AB159">
        <v>8</v>
      </c>
      <c r="AC159" t="s">
        <v>757</v>
      </c>
      <c r="AD159" t="s">
        <v>760</v>
      </c>
      <c r="AE159" t="b">
        <v>0</v>
      </c>
      <c r="AF159">
        <v>10</v>
      </c>
      <c r="AG159" t="s">
        <v>755</v>
      </c>
      <c r="AH159" t="s">
        <v>756</v>
      </c>
      <c r="AI159" t="b">
        <v>0</v>
      </c>
      <c r="AJ159" t="s">
        <v>765</v>
      </c>
      <c r="AK159" t="s">
        <v>765</v>
      </c>
      <c r="AL159" t="s">
        <v>761</v>
      </c>
      <c r="AM159" t="b">
        <v>0</v>
      </c>
      <c r="AN159">
        <v>158</v>
      </c>
      <c r="AO159">
        <f t="shared" si="12"/>
        <v>158</v>
      </c>
      <c r="AP159">
        <f t="shared" si="10"/>
        <v>24</v>
      </c>
      <c r="AQ159">
        <f t="shared" si="11"/>
        <v>24</v>
      </c>
      <c r="AR159" s="26" t="s">
        <v>1355</v>
      </c>
      <c r="AS159" s="26" t="s">
        <v>1356</v>
      </c>
      <c r="AT159" t="s">
        <v>711</v>
      </c>
      <c r="AU159" t="s">
        <v>1</v>
      </c>
      <c r="AV159" t="s">
        <v>1</v>
      </c>
      <c r="AW159">
        <v>37.28</v>
      </c>
      <c r="AX159">
        <v>-6.05</v>
      </c>
      <c r="AY159" t="s">
        <v>737</v>
      </c>
      <c r="BA159" s="3">
        <v>1</v>
      </c>
      <c r="BB159" s="3"/>
      <c r="BC159" s="3"/>
      <c r="BD159" s="3"/>
      <c r="BE159" s="3"/>
      <c r="BF159">
        <v>1993</v>
      </c>
      <c r="BG159" s="24" t="s">
        <v>733</v>
      </c>
      <c r="BH159" s="24" t="s">
        <v>733</v>
      </c>
      <c r="BI159" s="24" t="s">
        <v>733</v>
      </c>
      <c r="BJ159" s="24" t="s">
        <v>732</v>
      </c>
      <c r="BK159" s="24" t="s">
        <v>733</v>
      </c>
      <c r="BL159" s="25" t="s">
        <v>733</v>
      </c>
      <c r="BM159" s="24" t="s">
        <v>733</v>
      </c>
      <c r="BN159" s="24" t="s">
        <v>732</v>
      </c>
      <c r="BO159" s="24" t="s">
        <v>733</v>
      </c>
      <c r="BP159" s="24" t="s">
        <v>733</v>
      </c>
      <c r="BQ159" s="24" t="s">
        <v>945</v>
      </c>
      <c r="BR159" s="24" t="s">
        <v>945</v>
      </c>
      <c r="BS159" s="25" t="s">
        <v>934</v>
      </c>
      <c r="BT159" s="24" t="s">
        <v>934</v>
      </c>
      <c r="BU159" s="24" t="s">
        <v>934</v>
      </c>
      <c r="BV159" s="24" t="s">
        <v>934</v>
      </c>
      <c r="BW159" s="24" t="s">
        <v>934</v>
      </c>
      <c r="BX159" s="24" t="s">
        <v>934</v>
      </c>
      <c r="BY159" s="25" t="s">
        <v>945</v>
      </c>
      <c r="BZ159" t="s">
        <v>5</v>
      </c>
      <c r="CB159" t="s">
        <v>1</v>
      </c>
      <c r="CC159" s="4">
        <f>4.4*1000</f>
        <v>4400</v>
      </c>
      <c r="CD159" s="4"/>
      <c r="CE159" s="4"/>
      <c r="CF159" t="s">
        <v>793</v>
      </c>
      <c r="CG159">
        <v>100</v>
      </c>
      <c r="CH159" t="s">
        <v>805</v>
      </c>
      <c r="CI159" s="1">
        <v>0.9</v>
      </c>
      <c r="CJ159" s="10" t="s">
        <v>1444</v>
      </c>
      <c r="CK159" s="9" t="s">
        <v>1</v>
      </c>
      <c r="CL159" s="4" t="s">
        <v>1</v>
      </c>
      <c r="CM159" t="s">
        <v>848</v>
      </c>
      <c r="CN159" s="4">
        <v>69</v>
      </c>
      <c r="CO159" s="4"/>
      <c r="CP159" s="4" t="s">
        <v>1</v>
      </c>
      <c r="CQ159" s="4" t="s">
        <v>1</v>
      </c>
      <c r="CR159" s="4" t="s">
        <v>1</v>
      </c>
      <c r="CS159" s="4" t="s">
        <v>1</v>
      </c>
      <c r="CT159" s="4" t="s">
        <v>1</v>
      </c>
      <c r="CU159" s="4" t="s">
        <v>1</v>
      </c>
      <c r="CV159" t="s">
        <v>855</v>
      </c>
      <c r="CW159">
        <v>100</v>
      </c>
      <c r="CX159">
        <v>0</v>
      </c>
      <c r="CY159">
        <v>50</v>
      </c>
      <c r="CZ159" s="26" t="s">
        <v>1358</v>
      </c>
      <c r="DA159" t="s">
        <v>734</v>
      </c>
      <c r="DB159">
        <v>77.5</v>
      </c>
      <c r="DC159">
        <v>0</v>
      </c>
      <c r="DD159">
        <v>50</v>
      </c>
      <c r="DE159" s="26" t="s">
        <v>1358</v>
      </c>
      <c r="DF159" t="s">
        <v>735</v>
      </c>
      <c r="DG159">
        <v>9</v>
      </c>
      <c r="DH159">
        <v>0</v>
      </c>
      <c r="DI159">
        <v>50</v>
      </c>
      <c r="DJ159" s="26" t="s">
        <v>1358</v>
      </c>
      <c r="DK159" t="s">
        <v>736</v>
      </c>
      <c r="DL159">
        <v>13.1</v>
      </c>
      <c r="DM159">
        <v>0</v>
      </c>
      <c r="DN159">
        <v>50</v>
      </c>
      <c r="DO159" s="26" t="s">
        <v>1358</v>
      </c>
      <c r="DP159" t="s">
        <v>6</v>
      </c>
      <c r="DQ159" t="s">
        <v>813</v>
      </c>
      <c r="DR159">
        <v>7.2</v>
      </c>
      <c r="DS159">
        <v>0</v>
      </c>
      <c r="DT159">
        <v>50</v>
      </c>
      <c r="DU159" s="26" t="s">
        <v>1358</v>
      </c>
      <c r="EA159" t="s">
        <v>982</v>
      </c>
      <c r="EB159">
        <v>5.0999999999999996</v>
      </c>
      <c r="EC159">
        <v>0</v>
      </c>
      <c r="ED159">
        <v>50</v>
      </c>
      <c r="EE159" s="26" t="s">
        <v>1358</v>
      </c>
      <c r="EF159" s="26"/>
      <c r="FZ159" t="s">
        <v>806</v>
      </c>
      <c r="GA159">
        <v>293</v>
      </c>
      <c r="GE159" s="26" t="s">
        <v>1358</v>
      </c>
      <c r="HA159" s="5" t="s">
        <v>1</v>
      </c>
      <c r="HB159" s="4" t="s">
        <v>1</v>
      </c>
      <c r="HC159" t="s">
        <v>1</v>
      </c>
      <c r="HD159" t="s">
        <v>1</v>
      </c>
      <c r="HE159" t="s">
        <v>1</v>
      </c>
      <c r="HF159" s="5" t="s">
        <v>1063</v>
      </c>
      <c r="HG159" s="4">
        <v>0.59899999999999998</v>
      </c>
      <c r="HH159">
        <v>0</v>
      </c>
      <c r="HI159">
        <v>50</v>
      </c>
      <c r="HJ159" s="26" t="s">
        <v>1358</v>
      </c>
      <c r="HK159" t="s">
        <v>1</v>
      </c>
      <c r="HL159" t="s">
        <v>1</v>
      </c>
      <c r="HM159" t="s">
        <v>1</v>
      </c>
      <c r="HN159" t="s">
        <v>1</v>
      </c>
      <c r="HO159" t="s">
        <v>1</v>
      </c>
      <c r="HP159" t="s">
        <v>1</v>
      </c>
      <c r="HZ159" t="s">
        <v>1</v>
      </c>
      <c r="IA159" t="s">
        <v>1</v>
      </c>
      <c r="IB159" s="10" t="s">
        <v>1</v>
      </c>
      <c r="IC159" s="10"/>
      <c r="ID159" s="10"/>
      <c r="IE159" s="10" t="s">
        <v>1</v>
      </c>
      <c r="IF159" s="10" t="s">
        <v>1</v>
      </c>
      <c r="IG159" s="10"/>
      <c r="IH159" s="10"/>
      <c r="II159" s="10"/>
      <c r="IJ159" s="10"/>
      <c r="IK159" s="10"/>
      <c r="IL159" s="10"/>
      <c r="IM159" s="10"/>
      <c r="IN159" s="10"/>
      <c r="IO159" s="10"/>
      <c r="IP159" s="10"/>
      <c r="IQ159" s="10"/>
      <c r="IR159" s="10"/>
      <c r="IS159" t="s">
        <v>1</v>
      </c>
      <c r="IT159" t="s">
        <v>1</v>
      </c>
      <c r="IW159" t="s">
        <v>1</v>
      </c>
      <c r="IX159" t="s">
        <v>1</v>
      </c>
      <c r="IY159" t="s">
        <v>808</v>
      </c>
      <c r="IZ159">
        <v>6280</v>
      </c>
      <c r="JA159" t="s">
        <v>1</v>
      </c>
      <c r="JB159" s="3" t="s">
        <v>1</v>
      </c>
      <c r="JC159" t="s">
        <v>1</v>
      </c>
      <c r="JD159" s="4" t="s">
        <v>1</v>
      </c>
      <c r="JE159" t="s">
        <v>1</v>
      </c>
      <c r="JF159" t="s">
        <v>1</v>
      </c>
      <c r="JR159" t="s">
        <v>1066</v>
      </c>
      <c r="JS159">
        <v>115.1</v>
      </c>
      <c r="JU159" t="s">
        <v>1</v>
      </c>
      <c r="JW159" t="s">
        <v>1</v>
      </c>
      <c r="JX159">
        <v>0</v>
      </c>
      <c r="JY159">
        <v>120</v>
      </c>
      <c r="JZ159" t="s">
        <v>796</v>
      </c>
      <c r="KA159" t="s">
        <v>16</v>
      </c>
      <c r="KB159" t="s">
        <v>738</v>
      </c>
      <c r="KC159" t="s">
        <v>1</v>
      </c>
      <c r="KD159" t="s">
        <v>1</v>
      </c>
      <c r="KE159" t="s">
        <v>1</v>
      </c>
      <c r="KF159" t="s">
        <v>1</v>
      </c>
      <c r="KG159" t="s">
        <v>1</v>
      </c>
      <c r="KH159" t="s">
        <v>1</v>
      </c>
      <c r="KI159" t="s">
        <v>1</v>
      </c>
      <c r="KJ159" t="s">
        <v>1</v>
      </c>
      <c r="KK159" t="s">
        <v>1</v>
      </c>
    </row>
    <row r="160" spans="1:297" x14ac:dyDescent="0.2">
      <c r="A160">
        <v>159</v>
      </c>
      <c r="B160" t="s">
        <v>705</v>
      </c>
      <c r="C160" t="s">
        <v>185</v>
      </c>
      <c r="D160" t="s">
        <v>182</v>
      </c>
      <c r="E160">
        <v>24</v>
      </c>
      <c r="F160" t="s">
        <v>183</v>
      </c>
      <c r="G160" t="s">
        <v>182</v>
      </c>
      <c r="H160" s="26" t="s">
        <v>1420</v>
      </c>
      <c r="I160" t="s">
        <v>762</v>
      </c>
      <c r="J160">
        <v>1993</v>
      </c>
      <c r="K160" t="s">
        <v>1</v>
      </c>
      <c r="L160" t="s">
        <v>1</v>
      </c>
      <c r="M160" t="s">
        <v>1</v>
      </c>
      <c r="N160" t="s">
        <v>763</v>
      </c>
      <c r="O160" t="s">
        <v>1315</v>
      </c>
      <c r="P160">
        <v>4</v>
      </c>
      <c r="Q160" t="s">
        <v>764</v>
      </c>
      <c r="R160" t="s">
        <v>754</v>
      </c>
      <c r="S160" t="b">
        <v>0</v>
      </c>
      <c r="T160">
        <v>5</v>
      </c>
      <c r="U160" t="s">
        <v>757</v>
      </c>
      <c r="V160" t="s">
        <v>758</v>
      </c>
      <c r="W160" t="b">
        <v>0</v>
      </c>
      <c r="X160">
        <v>6</v>
      </c>
      <c r="Y160" t="s">
        <v>759</v>
      </c>
      <c r="Z160" t="s">
        <v>766</v>
      </c>
      <c r="AA160" t="b">
        <v>0</v>
      </c>
      <c r="AB160">
        <v>8</v>
      </c>
      <c r="AC160" t="s">
        <v>757</v>
      </c>
      <c r="AD160" t="s">
        <v>760</v>
      </c>
      <c r="AE160" t="b">
        <v>0</v>
      </c>
      <c r="AF160">
        <v>10</v>
      </c>
      <c r="AG160" t="s">
        <v>755</v>
      </c>
      <c r="AH160" t="s">
        <v>756</v>
      </c>
      <c r="AI160" t="b">
        <v>0</v>
      </c>
      <c r="AJ160" t="s">
        <v>765</v>
      </c>
      <c r="AK160" t="s">
        <v>765</v>
      </c>
      <c r="AL160" t="s">
        <v>761</v>
      </c>
      <c r="AM160" t="b">
        <v>0</v>
      </c>
      <c r="AN160">
        <v>159</v>
      </c>
      <c r="AO160">
        <f t="shared" si="12"/>
        <v>159</v>
      </c>
      <c r="AP160">
        <f t="shared" si="10"/>
        <v>24</v>
      </c>
      <c r="AQ160">
        <f t="shared" si="11"/>
        <v>24</v>
      </c>
      <c r="AR160" s="26" t="s">
        <v>1355</v>
      </c>
      <c r="AS160" s="26" t="s">
        <v>1356</v>
      </c>
      <c r="AT160" t="s">
        <v>711</v>
      </c>
      <c r="AU160" t="s">
        <v>1</v>
      </c>
      <c r="AV160" t="s">
        <v>1</v>
      </c>
      <c r="AW160">
        <v>37.28</v>
      </c>
      <c r="AX160">
        <v>-6.05</v>
      </c>
      <c r="AY160" t="s">
        <v>737</v>
      </c>
      <c r="BA160" s="3">
        <v>1</v>
      </c>
      <c r="BB160" s="3"/>
      <c r="BC160" s="3"/>
      <c r="BD160" s="3"/>
      <c r="BE160" s="3"/>
      <c r="BF160">
        <v>1993</v>
      </c>
      <c r="BG160" s="24" t="s">
        <v>733</v>
      </c>
      <c r="BH160" s="24" t="s">
        <v>733</v>
      </c>
      <c r="BI160" s="24" t="s">
        <v>733</v>
      </c>
      <c r="BJ160" s="24" t="s">
        <v>732</v>
      </c>
      <c r="BK160" s="24" t="s">
        <v>733</v>
      </c>
      <c r="BL160" s="25" t="s">
        <v>733</v>
      </c>
      <c r="BM160" s="24" t="s">
        <v>733</v>
      </c>
      <c r="BN160" s="24" t="s">
        <v>732</v>
      </c>
      <c r="BO160" s="24" t="s">
        <v>733</v>
      </c>
      <c r="BP160" s="24" t="s">
        <v>733</v>
      </c>
      <c r="BQ160" s="24" t="s">
        <v>945</v>
      </c>
      <c r="BR160" s="24" t="s">
        <v>945</v>
      </c>
      <c r="BS160" s="25" t="s">
        <v>934</v>
      </c>
      <c r="BT160" s="24" t="s">
        <v>934</v>
      </c>
      <c r="BU160" s="24" t="s">
        <v>934</v>
      </c>
      <c r="BV160" s="24" t="s">
        <v>934</v>
      </c>
      <c r="BW160" s="24" t="s">
        <v>934</v>
      </c>
      <c r="BX160" s="24" t="s">
        <v>934</v>
      </c>
      <c r="BY160" s="25" t="s">
        <v>945</v>
      </c>
      <c r="BZ160" t="s">
        <v>5</v>
      </c>
      <c r="CB160" t="s">
        <v>1</v>
      </c>
      <c r="CC160" s="4">
        <f>21.3*1000</f>
        <v>21300</v>
      </c>
      <c r="CD160" s="4"/>
      <c r="CE160" s="4"/>
      <c r="CF160" t="s">
        <v>793</v>
      </c>
      <c r="CG160">
        <v>100</v>
      </c>
      <c r="CH160" t="s">
        <v>805</v>
      </c>
      <c r="CI160" s="1">
        <v>0.9</v>
      </c>
      <c r="CJ160" s="10" t="s">
        <v>1444</v>
      </c>
      <c r="CK160" s="9" t="s">
        <v>1</v>
      </c>
      <c r="CL160" s="4" t="s">
        <v>1</v>
      </c>
      <c r="CM160" t="s">
        <v>848</v>
      </c>
      <c r="CN160" s="4">
        <v>400</v>
      </c>
      <c r="CO160" s="4"/>
      <c r="CP160" s="4" t="s">
        <v>1</v>
      </c>
      <c r="CQ160" s="4" t="s">
        <v>1</v>
      </c>
      <c r="CR160" s="4" t="s">
        <v>1</v>
      </c>
      <c r="CS160" s="4" t="s">
        <v>1</v>
      </c>
      <c r="CT160" s="4" t="s">
        <v>1</v>
      </c>
      <c r="CU160" s="4" t="s">
        <v>1</v>
      </c>
      <c r="CV160" t="s">
        <v>855</v>
      </c>
      <c r="CW160">
        <v>100</v>
      </c>
      <c r="CX160">
        <v>0</v>
      </c>
      <c r="CY160">
        <v>50</v>
      </c>
      <c r="CZ160" s="26" t="s">
        <v>1358</v>
      </c>
      <c r="DA160" t="s">
        <v>734</v>
      </c>
      <c r="DB160">
        <v>77.5</v>
      </c>
      <c r="DC160">
        <v>0</v>
      </c>
      <c r="DD160">
        <v>50</v>
      </c>
      <c r="DE160" s="26" t="s">
        <v>1358</v>
      </c>
      <c r="DF160" t="s">
        <v>735</v>
      </c>
      <c r="DG160">
        <v>9</v>
      </c>
      <c r="DH160">
        <v>0</v>
      </c>
      <c r="DI160">
        <v>50</v>
      </c>
      <c r="DJ160" s="26" t="s">
        <v>1358</v>
      </c>
      <c r="DK160" t="s">
        <v>736</v>
      </c>
      <c r="DL160">
        <v>13.1</v>
      </c>
      <c r="DM160">
        <v>0</v>
      </c>
      <c r="DN160">
        <v>50</v>
      </c>
      <c r="DO160" s="26" t="s">
        <v>1358</v>
      </c>
      <c r="DP160" t="s">
        <v>6</v>
      </c>
      <c r="DQ160" t="s">
        <v>813</v>
      </c>
      <c r="DR160">
        <v>7.2</v>
      </c>
      <c r="DS160">
        <v>0</v>
      </c>
      <c r="DT160">
        <v>50</v>
      </c>
      <c r="DU160" s="26" t="s">
        <v>1358</v>
      </c>
      <c r="EA160" t="s">
        <v>982</v>
      </c>
      <c r="EB160">
        <v>5.0999999999999996</v>
      </c>
      <c r="EC160">
        <v>0</v>
      </c>
      <c r="ED160">
        <v>50</v>
      </c>
      <c r="EE160" s="26" t="s">
        <v>1358</v>
      </c>
      <c r="EF160" s="26"/>
      <c r="FZ160" t="s">
        <v>806</v>
      </c>
      <c r="GA160">
        <v>293</v>
      </c>
      <c r="GE160" s="26" t="s">
        <v>1358</v>
      </c>
      <c r="HA160" s="5" t="s">
        <v>1</v>
      </c>
      <c r="HB160" s="4" t="s">
        <v>1</v>
      </c>
      <c r="HC160" t="s">
        <v>1</v>
      </c>
      <c r="HD160" t="s">
        <v>1</v>
      </c>
      <c r="HE160" t="s">
        <v>1</v>
      </c>
      <c r="HF160" s="5" t="s">
        <v>1063</v>
      </c>
      <c r="HG160" s="4">
        <v>0.59899999999999998</v>
      </c>
      <c r="HH160">
        <v>0</v>
      </c>
      <c r="HI160">
        <v>50</v>
      </c>
      <c r="HJ160" s="26" t="s">
        <v>1358</v>
      </c>
      <c r="HK160" t="s">
        <v>1</v>
      </c>
      <c r="HL160" t="s">
        <v>1</v>
      </c>
      <c r="HM160" t="s">
        <v>1</v>
      </c>
      <c r="HN160" t="s">
        <v>1</v>
      </c>
      <c r="HO160" t="s">
        <v>1</v>
      </c>
      <c r="HP160" t="s">
        <v>1</v>
      </c>
      <c r="HZ160" t="s">
        <v>1295</v>
      </c>
      <c r="IA160">
        <v>800</v>
      </c>
      <c r="IB160" s="10" t="s">
        <v>822</v>
      </c>
      <c r="IC160" s="10"/>
      <c r="ID160" s="10"/>
      <c r="IE160" s="10" t="s">
        <v>1</v>
      </c>
      <c r="IF160" s="10" t="s">
        <v>1</v>
      </c>
      <c r="IG160" s="10"/>
      <c r="IH160" s="10"/>
      <c r="II160" s="10"/>
      <c r="IJ160" s="10"/>
      <c r="IK160" s="10"/>
      <c r="IL160" s="10"/>
      <c r="IM160" s="10"/>
      <c r="IN160" s="10"/>
      <c r="IO160" s="10"/>
      <c r="IP160" s="10"/>
      <c r="IQ160" s="10"/>
      <c r="IR160" s="10"/>
      <c r="IS160" t="s">
        <v>1</v>
      </c>
      <c r="IT160" t="s">
        <v>1</v>
      </c>
      <c r="IW160" t="s">
        <v>1</v>
      </c>
      <c r="IX160" t="s">
        <v>1</v>
      </c>
      <c r="IY160" t="s">
        <v>808</v>
      </c>
      <c r="IZ160">
        <v>6280</v>
      </c>
      <c r="JA160" t="s">
        <v>1</v>
      </c>
      <c r="JB160" s="3" t="s">
        <v>1</v>
      </c>
      <c r="JC160" t="s">
        <v>1</v>
      </c>
      <c r="JD160" s="4" t="s">
        <v>1</v>
      </c>
      <c r="JE160" t="s">
        <v>1</v>
      </c>
      <c r="JF160" t="s">
        <v>1</v>
      </c>
      <c r="JR160" t="s">
        <v>1066</v>
      </c>
      <c r="JS160">
        <v>478.1</v>
      </c>
      <c r="JU160" t="s">
        <v>1</v>
      </c>
      <c r="JW160" t="s">
        <v>1</v>
      </c>
      <c r="JX160">
        <v>0</v>
      </c>
      <c r="JY160">
        <v>120</v>
      </c>
      <c r="JZ160" t="s">
        <v>796</v>
      </c>
      <c r="KA160" t="s">
        <v>16</v>
      </c>
      <c r="KB160" t="s">
        <v>738</v>
      </c>
      <c r="KC160" t="s">
        <v>1</v>
      </c>
      <c r="KD160" t="s">
        <v>1</v>
      </c>
      <c r="KE160" t="s">
        <v>1</v>
      </c>
      <c r="KF160" t="s">
        <v>1</v>
      </c>
      <c r="KG160" t="s">
        <v>1</v>
      </c>
      <c r="KH160" t="s">
        <v>1</v>
      </c>
      <c r="KI160" t="s">
        <v>1</v>
      </c>
      <c r="KJ160" t="s">
        <v>1</v>
      </c>
      <c r="KK160" t="s">
        <v>1</v>
      </c>
    </row>
    <row r="161" spans="1:297" x14ac:dyDescent="0.2">
      <c r="A161">
        <v>160</v>
      </c>
      <c r="B161" t="s">
        <v>705</v>
      </c>
      <c r="C161" t="s">
        <v>188</v>
      </c>
      <c r="D161" t="s">
        <v>186</v>
      </c>
      <c r="E161">
        <v>25</v>
      </c>
      <c r="F161" t="s">
        <v>187</v>
      </c>
      <c r="G161" t="s">
        <v>186</v>
      </c>
      <c r="H161" s="26" t="s">
        <v>1420</v>
      </c>
      <c r="I161" t="s">
        <v>772</v>
      </c>
      <c r="J161">
        <v>1995</v>
      </c>
      <c r="K161">
        <v>4</v>
      </c>
      <c r="L161" t="s">
        <v>1</v>
      </c>
      <c r="M161" t="s">
        <v>773</v>
      </c>
      <c r="N161" t="s">
        <v>1</v>
      </c>
      <c r="O161" t="s">
        <v>771</v>
      </c>
      <c r="P161">
        <v>4</v>
      </c>
      <c r="Q161" t="s">
        <v>764</v>
      </c>
      <c r="R161" t="s">
        <v>754</v>
      </c>
      <c r="S161" t="b">
        <v>0</v>
      </c>
      <c r="T161">
        <v>6</v>
      </c>
      <c r="U161" t="s">
        <v>759</v>
      </c>
      <c r="V161" t="s">
        <v>766</v>
      </c>
      <c r="W161" t="b">
        <v>0</v>
      </c>
      <c r="X161">
        <v>7</v>
      </c>
      <c r="Y161" t="s">
        <v>768</v>
      </c>
      <c r="Z161" t="s">
        <v>767</v>
      </c>
      <c r="AA161" t="b">
        <v>0</v>
      </c>
      <c r="AB161">
        <v>9</v>
      </c>
      <c r="AC161" t="s">
        <v>769</v>
      </c>
      <c r="AD161" t="s">
        <v>770</v>
      </c>
      <c r="AE161" t="b">
        <v>0</v>
      </c>
      <c r="AF161">
        <v>11</v>
      </c>
      <c r="AG161" t="s">
        <v>765</v>
      </c>
      <c r="AH161" t="s">
        <v>761</v>
      </c>
      <c r="AI161" t="b">
        <v>0</v>
      </c>
      <c r="AJ161" t="s">
        <v>1</v>
      </c>
      <c r="AK161" t="s">
        <v>1</v>
      </c>
      <c r="AL161" t="s">
        <v>1</v>
      </c>
      <c r="AM161" t="s">
        <v>1</v>
      </c>
      <c r="AN161">
        <v>160</v>
      </c>
      <c r="AO161">
        <f t="shared" si="12"/>
        <v>160</v>
      </c>
      <c r="AP161">
        <f t="shared" si="10"/>
        <v>25</v>
      </c>
      <c r="AQ161">
        <f t="shared" si="11"/>
        <v>25</v>
      </c>
      <c r="AR161" s="26" t="s">
        <v>1355</v>
      </c>
      <c r="AS161" s="26" t="s">
        <v>1356</v>
      </c>
      <c r="AT161" t="s">
        <v>711</v>
      </c>
      <c r="AU161" t="s">
        <v>1</v>
      </c>
      <c r="AV161" t="s">
        <v>1</v>
      </c>
      <c r="AW161">
        <v>37.28</v>
      </c>
      <c r="AX161">
        <v>-6.05</v>
      </c>
      <c r="AY161" t="s">
        <v>737</v>
      </c>
      <c r="BA161" s="3">
        <v>1</v>
      </c>
      <c r="BB161" s="3"/>
      <c r="BC161" s="3"/>
      <c r="BD161" s="3"/>
      <c r="BE161" s="3"/>
      <c r="BF161">
        <v>1993</v>
      </c>
      <c r="BG161" s="24" t="s">
        <v>733</v>
      </c>
      <c r="BH161" s="24" t="s">
        <v>733</v>
      </c>
      <c r="BI161" s="24" t="s">
        <v>733</v>
      </c>
      <c r="BJ161" s="24" t="s">
        <v>732</v>
      </c>
      <c r="BK161" s="24" t="s">
        <v>733</v>
      </c>
      <c r="BL161" s="25" t="s">
        <v>733</v>
      </c>
      <c r="BM161" s="24" t="s">
        <v>733</v>
      </c>
      <c r="BN161" s="24" t="s">
        <v>732</v>
      </c>
      <c r="BO161" s="24" t="s">
        <v>733</v>
      </c>
      <c r="BP161" s="24" t="s">
        <v>733</v>
      </c>
      <c r="BQ161" s="24" t="s">
        <v>945</v>
      </c>
      <c r="BR161" s="24" t="s">
        <v>945</v>
      </c>
      <c r="BS161" s="25" t="s">
        <v>934</v>
      </c>
      <c r="BT161" s="24" t="s">
        <v>934</v>
      </c>
      <c r="BU161" s="24" t="s">
        <v>934</v>
      </c>
      <c r="BV161" s="24" t="s">
        <v>934</v>
      </c>
      <c r="BW161" s="24" t="s">
        <v>934</v>
      </c>
      <c r="BX161" s="24" t="s">
        <v>934</v>
      </c>
      <c r="BY161" s="25" t="s">
        <v>945</v>
      </c>
      <c r="BZ161" t="s">
        <v>5</v>
      </c>
      <c r="CB161" t="s">
        <v>1</v>
      </c>
      <c r="CC161" s="4">
        <f>9.3*1000</f>
        <v>9300</v>
      </c>
      <c r="CD161" s="4"/>
      <c r="CE161" s="4"/>
      <c r="CF161" t="s">
        <v>793</v>
      </c>
      <c r="CG161">
        <v>100</v>
      </c>
      <c r="CH161" t="s">
        <v>805</v>
      </c>
      <c r="CI161" s="1">
        <v>0.9</v>
      </c>
      <c r="CJ161" s="10" t="s">
        <v>1444</v>
      </c>
      <c r="CK161" s="9" t="s">
        <v>1</v>
      </c>
      <c r="CL161" s="4" t="s">
        <v>1</v>
      </c>
      <c r="CM161" t="s">
        <v>848</v>
      </c>
      <c r="CN161" s="4">
        <v>140</v>
      </c>
      <c r="CO161" s="4"/>
      <c r="CP161" s="4" t="s">
        <v>1</v>
      </c>
      <c r="CQ161" s="4" t="s">
        <v>1</v>
      </c>
      <c r="CR161" s="4" t="s">
        <v>1</v>
      </c>
      <c r="CS161" s="4" t="s">
        <v>1</v>
      </c>
      <c r="CT161" s="4" t="s">
        <v>1</v>
      </c>
      <c r="CU161" s="4" t="s">
        <v>1</v>
      </c>
      <c r="CV161" t="s">
        <v>855</v>
      </c>
      <c r="CW161">
        <v>100</v>
      </c>
      <c r="CX161">
        <v>0</v>
      </c>
      <c r="CY161">
        <v>50</v>
      </c>
      <c r="CZ161" s="26" t="s">
        <v>1358</v>
      </c>
      <c r="DA161" t="s">
        <v>734</v>
      </c>
      <c r="DB161">
        <v>77.5</v>
      </c>
      <c r="DC161">
        <v>0</v>
      </c>
      <c r="DD161">
        <v>50</v>
      </c>
      <c r="DE161" s="26" t="s">
        <v>1358</v>
      </c>
      <c r="DF161" t="s">
        <v>735</v>
      </c>
      <c r="DG161">
        <v>9</v>
      </c>
      <c r="DH161">
        <v>0</v>
      </c>
      <c r="DI161">
        <v>50</v>
      </c>
      <c r="DJ161" s="26" t="s">
        <v>1358</v>
      </c>
      <c r="DK161" t="s">
        <v>736</v>
      </c>
      <c r="DL161">
        <v>13.1</v>
      </c>
      <c r="DM161">
        <v>0</v>
      </c>
      <c r="DN161">
        <v>50</v>
      </c>
      <c r="DO161" s="26" t="s">
        <v>1358</v>
      </c>
      <c r="DP161" t="s">
        <v>6</v>
      </c>
      <c r="DQ161" t="s">
        <v>813</v>
      </c>
      <c r="DR161">
        <v>7.2</v>
      </c>
      <c r="DS161">
        <v>0</v>
      </c>
      <c r="DT161">
        <v>50</v>
      </c>
      <c r="DU161" s="26" t="s">
        <v>1358</v>
      </c>
      <c r="EA161" t="s">
        <v>982</v>
      </c>
      <c r="EB161">
        <v>5.0999999999999996</v>
      </c>
      <c r="EC161">
        <v>0</v>
      </c>
      <c r="ED161">
        <v>50</v>
      </c>
      <c r="EE161" s="26" t="s">
        <v>1358</v>
      </c>
      <c r="EF161" s="26"/>
      <c r="FZ161" t="s">
        <v>806</v>
      </c>
      <c r="GA161">
        <v>394.5</v>
      </c>
      <c r="GE161" s="26" t="s">
        <v>1358</v>
      </c>
      <c r="HA161" s="5" t="s">
        <v>1</v>
      </c>
      <c r="HB161" s="4" t="s">
        <v>1</v>
      </c>
      <c r="HC161" t="s">
        <v>1</v>
      </c>
      <c r="HD161" t="s">
        <v>1</v>
      </c>
      <c r="HE161" t="s">
        <v>1</v>
      </c>
      <c r="HF161" s="5" t="s">
        <v>1063</v>
      </c>
      <c r="HG161" s="4">
        <v>0.59899999999999998</v>
      </c>
      <c r="HH161">
        <v>0</v>
      </c>
      <c r="HI161">
        <v>50</v>
      </c>
      <c r="HJ161" s="26" t="s">
        <v>1358</v>
      </c>
      <c r="HK161" t="s">
        <v>1</v>
      </c>
      <c r="HL161" t="s">
        <v>1</v>
      </c>
      <c r="HM161" t="s">
        <v>1</v>
      </c>
      <c r="HN161" t="s">
        <v>1</v>
      </c>
      <c r="HO161" t="s">
        <v>1</v>
      </c>
      <c r="HP161" t="s">
        <v>1</v>
      </c>
      <c r="HZ161" t="s">
        <v>1295</v>
      </c>
      <c r="IA161">
        <v>171</v>
      </c>
      <c r="IB161" s="10" t="s">
        <v>822</v>
      </c>
      <c r="IC161" s="10"/>
      <c r="ID161" s="10"/>
      <c r="IE161" s="10" t="s">
        <v>1</v>
      </c>
      <c r="IF161" s="10" t="s">
        <v>1</v>
      </c>
      <c r="IG161" s="10"/>
      <c r="IH161" s="10"/>
      <c r="II161" s="10"/>
      <c r="IJ161" s="10"/>
      <c r="IK161" s="10"/>
      <c r="IL161" s="10"/>
      <c r="IM161" s="10"/>
      <c r="IN161" s="10"/>
      <c r="IO161" s="10"/>
      <c r="IP161" s="10"/>
      <c r="IQ161" s="10"/>
      <c r="IR161" s="10"/>
      <c r="IS161" t="s">
        <v>1</v>
      </c>
      <c r="IT161" t="s">
        <v>1</v>
      </c>
      <c r="IW161" t="s">
        <v>1</v>
      </c>
      <c r="IX161" t="s">
        <v>1</v>
      </c>
      <c r="IY161" t="s">
        <v>808</v>
      </c>
      <c r="IZ161">
        <v>7410</v>
      </c>
      <c r="JA161" t="s">
        <v>1</v>
      </c>
      <c r="JB161" s="3" t="s">
        <v>1</v>
      </c>
      <c r="JC161" t="s">
        <v>1</v>
      </c>
      <c r="JD161" s="4" t="s">
        <v>1</v>
      </c>
      <c r="JE161" t="s">
        <v>1</v>
      </c>
      <c r="JF161" t="s">
        <v>1</v>
      </c>
      <c r="JR161" t="s">
        <v>1066</v>
      </c>
      <c r="JS161">
        <v>221.3</v>
      </c>
      <c r="JU161" t="s">
        <v>1</v>
      </c>
      <c r="JW161" t="s">
        <v>1</v>
      </c>
      <c r="JX161">
        <v>0</v>
      </c>
      <c r="JY161">
        <v>120</v>
      </c>
      <c r="JZ161" t="s">
        <v>796</v>
      </c>
      <c r="KA161" t="s">
        <v>16</v>
      </c>
      <c r="KB161" t="s">
        <v>738</v>
      </c>
      <c r="KC161" t="s">
        <v>1</v>
      </c>
      <c r="KD161" t="s">
        <v>1</v>
      </c>
      <c r="KE161" t="s">
        <v>1</v>
      </c>
      <c r="KF161" t="s">
        <v>1</v>
      </c>
      <c r="KG161" t="s">
        <v>1</v>
      </c>
      <c r="KH161" t="s">
        <v>1</v>
      </c>
      <c r="KI161" t="s">
        <v>1</v>
      </c>
      <c r="KJ161" t="s">
        <v>1</v>
      </c>
      <c r="KK161" t="s">
        <v>1</v>
      </c>
    </row>
    <row r="162" spans="1:297" x14ac:dyDescent="0.2">
      <c r="A162">
        <v>161</v>
      </c>
      <c r="B162" t="s">
        <v>705</v>
      </c>
      <c r="C162" t="s">
        <v>189</v>
      </c>
      <c r="D162" t="s">
        <v>186</v>
      </c>
      <c r="E162">
        <v>25</v>
      </c>
      <c r="F162" t="s">
        <v>187</v>
      </c>
      <c r="G162" t="s">
        <v>186</v>
      </c>
      <c r="H162" s="26" t="s">
        <v>1420</v>
      </c>
      <c r="I162" t="s">
        <v>772</v>
      </c>
      <c r="J162">
        <v>1995</v>
      </c>
      <c r="K162">
        <v>4</v>
      </c>
      <c r="L162" t="s">
        <v>1</v>
      </c>
      <c r="M162" t="s">
        <v>773</v>
      </c>
      <c r="N162" t="s">
        <v>1</v>
      </c>
      <c r="O162" t="s">
        <v>771</v>
      </c>
      <c r="P162">
        <v>4</v>
      </c>
      <c r="Q162" t="s">
        <v>764</v>
      </c>
      <c r="R162" t="s">
        <v>754</v>
      </c>
      <c r="S162" t="b">
        <v>0</v>
      </c>
      <c r="T162">
        <v>6</v>
      </c>
      <c r="U162" t="s">
        <v>759</v>
      </c>
      <c r="V162" t="s">
        <v>766</v>
      </c>
      <c r="W162" t="b">
        <v>0</v>
      </c>
      <c r="X162">
        <v>7</v>
      </c>
      <c r="Y162" t="s">
        <v>768</v>
      </c>
      <c r="Z162" t="s">
        <v>767</v>
      </c>
      <c r="AA162" t="b">
        <v>0</v>
      </c>
      <c r="AB162">
        <v>9</v>
      </c>
      <c r="AC162" t="s">
        <v>769</v>
      </c>
      <c r="AD162" t="s">
        <v>770</v>
      </c>
      <c r="AE162" t="b">
        <v>0</v>
      </c>
      <c r="AF162">
        <v>11</v>
      </c>
      <c r="AG162" t="s">
        <v>765</v>
      </c>
      <c r="AH162" t="s">
        <v>761</v>
      </c>
      <c r="AI162" t="b">
        <v>0</v>
      </c>
      <c r="AJ162" t="s">
        <v>1</v>
      </c>
      <c r="AK162" t="s">
        <v>1</v>
      </c>
      <c r="AL162" t="s">
        <v>1</v>
      </c>
      <c r="AM162" t="s">
        <v>1</v>
      </c>
      <c r="AN162">
        <v>161</v>
      </c>
      <c r="AO162">
        <f t="shared" si="12"/>
        <v>161</v>
      </c>
      <c r="AP162">
        <f t="shared" si="10"/>
        <v>25</v>
      </c>
      <c r="AQ162">
        <f t="shared" si="11"/>
        <v>25</v>
      </c>
      <c r="AR162" s="26" t="s">
        <v>1355</v>
      </c>
      <c r="AS162" s="26" t="s">
        <v>1356</v>
      </c>
      <c r="AT162" t="s">
        <v>711</v>
      </c>
      <c r="AU162" t="s">
        <v>1</v>
      </c>
      <c r="AV162" t="s">
        <v>1</v>
      </c>
      <c r="AW162">
        <v>37.28</v>
      </c>
      <c r="AX162">
        <v>-6.05</v>
      </c>
      <c r="AY162" t="s">
        <v>737</v>
      </c>
      <c r="BA162" s="3">
        <v>1</v>
      </c>
      <c r="BB162" s="3"/>
      <c r="BC162" s="3"/>
      <c r="BD162" s="3"/>
      <c r="BE162" s="3"/>
      <c r="BF162">
        <v>1993</v>
      </c>
      <c r="BG162" s="24" t="s">
        <v>733</v>
      </c>
      <c r="BH162" s="24" t="s">
        <v>733</v>
      </c>
      <c r="BI162" s="24" t="s">
        <v>733</v>
      </c>
      <c r="BJ162" s="24" t="s">
        <v>732</v>
      </c>
      <c r="BK162" s="24" t="s">
        <v>733</v>
      </c>
      <c r="BL162" s="25" t="s">
        <v>733</v>
      </c>
      <c r="BM162" s="24" t="s">
        <v>733</v>
      </c>
      <c r="BN162" s="24" t="s">
        <v>732</v>
      </c>
      <c r="BO162" s="24" t="s">
        <v>733</v>
      </c>
      <c r="BP162" s="24" t="s">
        <v>733</v>
      </c>
      <c r="BQ162" s="24" t="s">
        <v>945</v>
      </c>
      <c r="BR162" s="24" t="s">
        <v>945</v>
      </c>
      <c r="BS162" s="25" t="s">
        <v>934</v>
      </c>
      <c r="BT162" s="24" t="s">
        <v>934</v>
      </c>
      <c r="BU162" s="24" t="s">
        <v>934</v>
      </c>
      <c r="BV162" s="24" t="s">
        <v>934</v>
      </c>
      <c r="BW162" s="24" t="s">
        <v>934</v>
      </c>
      <c r="BX162" s="24" t="s">
        <v>934</v>
      </c>
      <c r="BY162" s="25" t="s">
        <v>945</v>
      </c>
      <c r="BZ162" t="s">
        <v>5</v>
      </c>
      <c r="CB162" t="s">
        <v>1</v>
      </c>
      <c r="CC162" s="4">
        <f>11.5*1000</f>
        <v>11500</v>
      </c>
      <c r="CD162" s="4"/>
      <c r="CE162" s="4"/>
      <c r="CF162" t="s">
        <v>793</v>
      </c>
      <c r="CG162">
        <v>100</v>
      </c>
      <c r="CH162" t="s">
        <v>805</v>
      </c>
      <c r="CI162" s="1">
        <v>0.9</v>
      </c>
      <c r="CJ162" s="10" t="s">
        <v>1444</v>
      </c>
      <c r="CK162" s="9" t="s">
        <v>1</v>
      </c>
      <c r="CL162" s="4" t="s">
        <v>1</v>
      </c>
      <c r="CM162" t="s">
        <v>848</v>
      </c>
      <c r="CN162" s="4">
        <v>304</v>
      </c>
      <c r="CO162" s="4"/>
      <c r="CP162" s="4" t="s">
        <v>1</v>
      </c>
      <c r="CQ162" s="4" t="s">
        <v>1</v>
      </c>
      <c r="CR162" s="4" t="s">
        <v>1</v>
      </c>
      <c r="CS162" s="4" t="s">
        <v>1</v>
      </c>
      <c r="CT162" s="4" t="s">
        <v>1</v>
      </c>
      <c r="CU162" s="4" t="s">
        <v>1</v>
      </c>
      <c r="CV162" t="s">
        <v>855</v>
      </c>
      <c r="CW162">
        <v>100</v>
      </c>
      <c r="CX162">
        <v>0</v>
      </c>
      <c r="CY162">
        <v>50</v>
      </c>
      <c r="CZ162" s="26" t="s">
        <v>1358</v>
      </c>
      <c r="DA162" t="s">
        <v>734</v>
      </c>
      <c r="DB162">
        <v>77.5</v>
      </c>
      <c r="DC162">
        <v>0</v>
      </c>
      <c r="DD162">
        <v>50</v>
      </c>
      <c r="DE162" s="26" t="s">
        <v>1358</v>
      </c>
      <c r="DF162" t="s">
        <v>735</v>
      </c>
      <c r="DG162">
        <v>9</v>
      </c>
      <c r="DH162">
        <v>0</v>
      </c>
      <c r="DI162">
        <v>50</v>
      </c>
      <c r="DJ162" s="26" t="s">
        <v>1358</v>
      </c>
      <c r="DK162" t="s">
        <v>736</v>
      </c>
      <c r="DL162">
        <v>13.1</v>
      </c>
      <c r="DM162">
        <v>0</v>
      </c>
      <c r="DN162">
        <v>50</v>
      </c>
      <c r="DO162" s="26" t="s">
        <v>1358</v>
      </c>
      <c r="DP162" t="s">
        <v>6</v>
      </c>
      <c r="DQ162" t="s">
        <v>813</v>
      </c>
      <c r="DR162">
        <v>7.2</v>
      </c>
      <c r="DS162">
        <v>0</v>
      </c>
      <c r="DT162">
        <v>50</v>
      </c>
      <c r="DU162" s="26" t="s">
        <v>1358</v>
      </c>
      <c r="EA162" t="s">
        <v>982</v>
      </c>
      <c r="EB162">
        <v>5.0999999999999996</v>
      </c>
      <c r="EC162">
        <v>0</v>
      </c>
      <c r="ED162">
        <v>50</v>
      </c>
      <c r="EE162" s="26" t="s">
        <v>1358</v>
      </c>
      <c r="EF162" s="26"/>
      <c r="FZ162" t="s">
        <v>806</v>
      </c>
      <c r="GA162">
        <v>394.5</v>
      </c>
      <c r="GE162" s="26" t="s">
        <v>1358</v>
      </c>
      <c r="HA162" s="5" t="s">
        <v>1</v>
      </c>
      <c r="HB162" s="4" t="s">
        <v>1</v>
      </c>
      <c r="HC162" t="s">
        <v>1</v>
      </c>
      <c r="HD162" t="s">
        <v>1</v>
      </c>
      <c r="HE162" t="s">
        <v>1</v>
      </c>
      <c r="HF162" s="5" t="s">
        <v>1063</v>
      </c>
      <c r="HG162" s="4">
        <v>0.59899999999999998</v>
      </c>
      <c r="HH162">
        <v>0</v>
      </c>
      <c r="HI162">
        <v>50</v>
      </c>
      <c r="HJ162" s="26" t="s">
        <v>1358</v>
      </c>
      <c r="HK162" t="s">
        <v>1</v>
      </c>
      <c r="HL162" t="s">
        <v>1</v>
      </c>
      <c r="HM162" t="s">
        <v>1</v>
      </c>
      <c r="HN162" t="s">
        <v>1</v>
      </c>
      <c r="HO162" t="s">
        <v>1</v>
      </c>
      <c r="HP162" t="s">
        <v>1</v>
      </c>
      <c r="HZ162" t="s">
        <v>1295</v>
      </c>
      <c r="IA162">
        <v>518</v>
      </c>
      <c r="IB162" s="10" t="s">
        <v>822</v>
      </c>
      <c r="IC162" s="10"/>
      <c r="ID162" s="10"/>
      <c r="IE162" s="10" t="s">
        <v>1</v>
      </c>
      <c r="IF162" s="10" t="s">
        <v>1</v>
      </c>
      <c r="IG162" s="10"/>
      <c r="IH162" s="10"/>
      <c r="II162" s="10"/>
      <c r="IJ162" s="10"/>
      <c r="IK162" s="10"/>
      <c r="IL162" s="10"/>
      <c r="IM162" s="10"/>
      <c r="IN162" s="10"/>
      <c r="IO162" s="10"/>
      <c r="IP162" s="10"/>
      <c r="IQ162" s="10"/>
      <c r="IR162" s="10"/>
      <c r="IS162" t="s">
        <v>1</v>
      </c>
      <c r="IT162" t="s">
        <v>1</v>
      </c>
      <c r="IW162" t="s">
        <v>1</v>
      </c>
      <c r="IX162" t="s">
        <v>1</v>
      </c>
      <c r="IY162" t="s">
        <v>808</v>
      </c>
      <c r="IZ162">
        <v>7410</v>
      </c>
      <c r="JA162" t="s">
        <v>1</v>
      </c>
      <c r="JB162" s="3" t="s">
        <v>1</v>
      </c>
      <c r="JC162" t="s">
        <v>1</v>
      </c>
      <c r="JD162" s="4" t="s">
        <v>1</v>
      </c>
      <c r="JE162" t="s">
        <v>1</v>
      </c>
      <c r="JF162" t="s">
        <v>1</v>
      </c>
      <c r="JR162" t="s">
        <v>1066</v>
      </c>
      <c r="JS162">
        <v>411.7</v>
      </c>
      <c r="JU162" t="s">
        <v>1</v>
      </c>
      <c r="JW162" t="s">
        <v>1</v>
      </c>
      <c r="JX162">
        <v>0</v>
      </c>
      <c r="JY162">
        <v>120</v>
      </c>
      <c r="JZ162" t="s">
        <v>796</v>
      </c>
      <c r="KA162" t="s">
        <v>16</v>
      </c>
      <c r="KB162" t="s">
        <v>738</v>
      </c>
      <c r="KC162" t="s">
        <v>1</v>
      </c>
      <c r="KD162" t="s">
        <v>1</v>
      </c>
      <c r="KE162" t="s">
        <v>1</v>
      </c>
      <c r="KF162" t="s">
        <v>1</v>
      </c>
      <c r="KG162" t="s">
        <v>1</v>
      </c>
      <c r="KH162" t="s">
        <v>1</v>
      </c>
      <c r="KI162" t="s">
        <v>1</v>
      </c>
      <c r="KJ162" t="s">
        <v>1</v>
      </c>
      <c r="KK162" t="s">
        <v>1</v>
      </c>
    </row>
    <row r="163" spans="1:297" x14ac:dyDescent="0.2">
      <c r="A163">
        <v>162</v>
      </c>
      <c r="B163" t="s">
        <v>705</v>
      </c>
      <c r="C163" t="s">
        <v>1316</v>
      </c>
      <c r="D163" t="s">
        <v>190</v>
      </c>
      <c r="E163">
        <v>26</v>
      </c>
      <c r="F163" t="s">
        <v>700</v>
      </c>
      <c r="G163" t="s">
        <v>1</v>
      </c>
      <c r="H163" s="26" t="s">
        <v>1420</v>
      </c>
      <c r="I163" t="s">
        <v>1</v>
      </c>
      <c r="J163" t="s">
        <v>1</v>
      </c>
      <c r="K163" t="s">
        <v>1</v>
      </c>
      <c r="L163" t="s">
        <v>1</v>
      </c>
      <c r="M163" t="s">
        <v>1</v>
      </c>
      <c r="N163" t="s">
        <v>1</v>
      </c>
      <c r="O163" t="s">
        <v>1</v>
      </c>
      <c r="P163" t="s">
        <v>1</v>
      </c>
      <c r="Q163" t="s">
        <v>1</v>
      </c>
      <c r="R163" t="s">
        <v>1</v>
      </c>
      <c r="S163" t="s">
        <v>1</v>
      </c>
      <c r="T163" t="s">
        <v>1</v>
      </c>
      <c r="U163" t="s">
        <v>1</v>
      </c>
      <c r="V163" t="s">
        <v>1</v>
      </c>
      <c r="W163" t="s">
        <v>1</v>
      </c>
      <c r="X163" t="s">
        <v>1</v>
      </c>
      <c r="Y163" t="s">
        <v>1</v>
      </c>
      <c r="Z163" t="s">
        <v>1</v>
      </c>
      <c r="AA163" t="s">
        <v>1</v>
      </c>
      <c r="AB163" t="s">
        <v>1</v>
      </c>
      <c r="AC163" t="s">
        <v>1</v>
      </c>
      <c r="AD163" t="s">
        <v>1</v>
      </c>
      <c r="AE163" t="s">
        <v>1</v>
      </c>
      <c r="AF163" t="s">
        <v>1</v>
      </c>
      <c r="AG163" t="s">
        <v>1</v>
      </c>
      <c r="AH163" t="s">
        <v>1</v>
      </c>
      <c r="AI163" t="s">
        <v>1</v>
      </c>
      <c r="AJ163" t="s">
        <v>1</v>
      </c>
      <c r="AK163" t="s">
        <v>1</v>
      </c>
      <c r="AL163" t="s">
        <v>1</v>
      </c>
      <c r="AM163" t="s">
        <v>1</v>
      </c>
      <c r="AN163">
        <v>162</v>
      </c>
      <c r="AO163">
        <f t="shared" si="12"/>
        <v>162</v>
      </c>
      <c r="AP163">
        <f t="shared" si="10"/>
        <v>26</v>
      </c>
      <c r="AQ163">
        <f t="shared" si="11"/>
        <v>26</v>
      </c>
      <c r="AR163" s="26" t="s">
        <v>1355</v>
      </c>
      <c r="AS163" s="26" t="s">
        <v>1356</v>
      </c>
      <c r="AT163" t="s">
        <v>710</v>
      </c>
      <c r="AU163" t="s">
        <v>1</v>
      </c>
      <c r="AV163" t="s">
        <v>1</v>
      </c>
      <c r="AW163">
        <v>38.43</v>
      </c>
      <c r="AX163">
        <v>106.35</v>
      </c>
      <c r="AY163" t="s">
        <v>737</v>
      </c>
      <c r="BA163" s="3">
        <v>3</v>
      </c>
      <c r="BB163" s="3"/>
      <c r="BC163" s="3"/>
      <c r="BD163" s="3"/>
      <c r="BE163" s="3"/>
      <c r="BF163">
        <v>2009</v>
      </c>
      <c r="BG163" s="24" t="s">
        <v>733</v>
      </c>
      <c r="BH163" s="24" t="s">
        <v>733</v>
      </c>
      <c r="BI163" s="24" t="s">
        <v>733</v>
      </c>
      <c r="BJ163" s="24" t="s">
        <v>732</v>
      </c>
      <c r="BK163" s="24" t="s">
        <v>733</v>
      </c>
      <c r="BL163" s="25" t="s">
        <v>733</v>
      </c>
      <c r="BM163" s="24" t="s">
        <v>733</v>
      </c>
      <c r="BN163" s="24" t="s">
        <v>732</v>
      </c>
      <c r="BO163" s="24" t="s">
        <v>733</v>
      </c>
      <c r="BP163" s="24" t="s">
        <v>733</v>
      </c>
      <c r="BQ163" s="24" t="s">
        <v>945</v>
      </c>
      <c r="BR163" s="24" t="s">
        <v>945</v>
      </c>
      <c r="BS163" s="25" t="s">
        <v>934</v>
      </c>
      <c r="BT163" s="24" t="s">
        <v>934</v>
      </c>
      <c r="BU163" s="24" t="s">
        <v>934</v>
      </c>
      <c r="BV163" s="24" t="s">
        <v>934</v>
      </c>
      <c r="BW163" s="24" t="s">
        <v>934</v>
      </c>
      <c r="BX163" s="24" t="s">
        <v>934</v>
      </c>
      <c r="BY163" s="25" t="s">
        <v>945</v>
      </c>
      <c r="BZ163" t="s">
        <v>788</v>
      </c>
      <c r="CB163" t="s">
        <v>191</v>
      </c>
      <c r="CC163" s="15">
        <f>(SUM(128,107.6)*0.073+SUM(38.9,58.6)*0.1)*1000/2</f>
        <v>13474.4</v>
      </c>
      <c r="CD163" s="15"/>
      <c r="CE163" s="15"/>
      <c r="CF163" t="s">
        <v>793</v>
      </c>
      <c r="CG163">
        <v>100</v>
      </c>
      <c r="CH163" t="s">
        <v>805</v>
      </c>
      <c r="CI163" s="1">
        <v>1</v>
      </c>
      <c r="CJ163" s="9" t="s">
        <v>1</v>
      </c>
      <c r="CK163" t="s">
        <v>807</v>
      </c>
      <c r="CL163" s="4">
        <f>SUM(6.9,5.9,1,2.4)*1000/2</f>
        <v>8100</v>
      </c>
      <c r="CM163" s="34" t="s">
        <v>1</v>
      </c>
      <c r="CN163" s="4" t="s">
        <v>1</v>
      </c>
      <c r="CO163" s="4"/>
      <c r="CP163" s="4" t="s">
        <v>1</v>
      </c>
      <c r="CQ163" s="4" t="s">
        <v>1</v>
      </c>
      <c r="CR163" s="4" t="s">
        <v>1</v>
      </c>
      <c r="CS163" s="4" t="s">
        <v>1</v>
      </c>
      <c r="CT163" s="4" t="s">
        <v>1</v>
      </c>
      <c r="CU163" s="4" t="s">
        <v>1</v>
      </c>
      <c r="CV163" t="s">
        <v>855</v>
      </c>
      <c r="CW163">
        <v>100</v>
      </c>
      <c r="CX163">
        <v>0</v>
      </c>
      <c r="CY163">
        <v>30</v>
      </c>
      <c r="CZ163" s="26" t="s">
        <v>1358</v>
      </c>
      <c r="DA163" t="s">
        <v>734</v>
      </c>
      <c r="DB163">
        <v>56.3</v>
      </c>
      <c r="DC163">
        <v>0</v>
      </c>
      <c r="DD163">
        <v>30</v>
      </c>
      <c r="DE163" s="26" t="s">
        <v>1358</v>
      </c>
      <c r="DF163" t="s">
        <v>735</v>
      </c>
      <c r="DG163">
        <v>28.7</v>
      </c>
      <c r="DH163">
        <v>0</v>
      </c>
      <c r="DI163">
        <v>30</v>
      </c>
      <c r="DJ163" s="26" t="s">
        <v>1358</v>
      </c>
      <c r="DK163" t="s">
        <v>736</v>
      </c>
      <c r="DL163">
        <v>15</v>
      </c>
      <c r="DM163">
        <v>0</v>
      </c>
      <c r="DN163">
        <v>30</v>
      </c>
      <c r="DO163" s="26" t="s">
        <v>1358</v>
      </c>
      <c r="DP163" t="s">
        <v>6</v>
      </c>
      <c r="DQ163" t="s">
        <v>813</v>
      </c>
      <c r="DR163">
        <v>8.3000000000000007</v>
      </c>
      <c r="DS163">
        <v>0</v>
      </c>
      <c r="DT163">
        <v>30</v>
      </c>
      <c r="DU163" s="26" t="s">
        <v>1358</v>
      </c>
      <c r="EA163" t="s">
        <v>982</v>
      </c>
      <c r="EB163">
        <v>17.600000000000001</v>
      </c>
      <c r="EC163">
        <v>0</v>
      </c>
      <c r="ED163">
        <v>30</v>
      </c>
      <c r="EE163" s="26" t="s">
        <v>1358</v>
      </c>
      <c r="EF163" s="26"/>
      <c r="FZ163" t="s">
        <v>806</v>
      </c>
      <c r="GA163">
        <v>0</v>
      </c>
      <c r="GE163" s="26" t="s">
        <v>1358</v>
      </c>
      <c r="HA163" s="11" t="s">
        <v>1</v>
      </c>
      <c r="HB163" s="1" t="s">
        <v>1</v>
      </c>
      <c r="HC163" t="s">
        <v>1</v>
      </c>
      <c r="HD163" t="s">
        <v>1</v>
      </c>
      <c r="HE163" t="s">
        <v>1</v>
      </c>
      <c r="HF163" s="5" t="s">
        <v>1063</v>
      </c>
      <c r="HG163" s="1">
        <v>1.96</v>
      </c>
      <c r="HH163">
        <v>0</v>
      </c>
      <c r="HI163">
        <v>30</v>
      </c>
      <c r="HJ163" s="26" t="s">
        <v>1358</v>
      </c>
      <c r="HK163" t="s">
        <v>815</v>
      </c>
      <c r="HL163">
        <v>1.37</v>
      </c>
      <c r="HM163">
        <v>0</v>
      </c>
      <c r="HN163">
        <v>30</v>
      </c>
      <c r="HO163" t="s">
        <v>1</v>
      </c>
      <c r="HP163" s="26" t="s">
        <v>1358</v>
      </c>
      <c r="HZ163" t="s">
        <v>1</v>
      </c>
      <c r="IA163" t="s">
        <v>1</v>
      </c>
      <c r="IB163" s="10" t="s">
        <v>1</v>
      </c>
      <c r="IC163" s="10"/>
      <c r="ID163" s="10"/>
      <c r="IE163" s="10" t="s">
        <v>1</v>
      </c>
      <c r="IF163" s="10" t="s">
        <v>1</v>
      </c>
      <c r="IG163" s="10"/>
      <c r="IH163" s="10"/>
      <c r="II163" s="10"/>
      <c r="IJ163" s="10"/>
      <c r="IK163" s="10"/>
      <c r="IL163" s="10"/>
      <c r="IM163" s="10"/>
      <c r="IN163" s="10"/>
      <c r="IO163" s="10"/>
      <c r="IP163" s="10"/>
      <c r="IQ163" s="10"/>
      <c r="IR163" s="10"/>
      <c r="IS163" t="s">
        <v>978</v>
      </c>
      <c r="IT163">
        <v>316</v>
      </c>
      <c r="IW163" t="s">
        <v>1</v>
      </c>
      <c r="IX163" t="s">
        <v>1</v>
      </c>
      <c r="IY163" t="s">
        <v>808</v>
      </c>
      <c r="IZ163">
        <v>6080</v>
      </c>
      <c r="JA163" t="s">
        <v>1</v>
      </c>
      <c r="JB163" s="3" t="s">
        <v>1</v>
      </c>
      <c r="JC163" t="s">
        <v>965</v>
      </c>
      <c r="JD163" s="1">
        <f>SUM(3.7,0.21,1,0.19,8.5,0.84,5.9,0.4,6.5,0.41,12.8,0.31,7.5,3.4,1.1,0.04,8.4,0.14,1,0.03,2.1,0.68,4.6,0.75,6.7,0.71,11.7,0.36)/2</f>
        <v>44.984999999999999</v>
      </c>
      <c r="JE163" t="s">
        <v>810</v>
      </c>
      <c r="JF163">
        <v>100</v>
      </c>
      <c r="JR163" t="s">
        <v>1066</v>
      </c>
      <c r="JS163">
        <v>233.9</v>
      </c>
      <c r="JU163" t="s">
        <v>1</v>
      </c>
      <c r="JW163" t="s">
        <v>1</v>
      </c>
      <c r="JX163">
        <v>0</v>
      </c>
      <c r="JY163">
        <v>90</v>
      </c>
      <c r="JZ163" t="s">
        <v>796</v>
      </c>
      <c r="KA163" t="s">
        <v>192</v>
      </c>
      <c r="KB163" t="s">
        <v>738</v>
      </c>
      <c r="KC163" t="s">
        <v>1067</v>
      </c>
      <c r="KD163" s="1">
        <f>SUM(0.28,0.02,0.69,0.19,0.27)/2</f>
        <v>0.72499999999999998</v>
      </c>
      <c r="KE163" s="11" t="s">
        <v>1</v>
      </c>
      <c r="KF163" s="11" t="s">
        <v>1</v>
      </c>
      <c r="KG163">
        <v>0</v>
      </c>
      <c r="KH163">
        <v>90</v>
      </c>
      <c r="KI163" t="s">
        <v>796</v>
      </c>
      <c r="KJ163" t="s">
        <v>192</v>
      </c>
      <c r="KK163" t="s">
        <v>738</v>
      </c>
    </row>
    <row r="164" spans="1:297" x14ac:dyDescent="0.2">
      <c r="A164">
        <v>163</v>
      </c>
      <c r="B164" t="s">
        <v>705</v>
      </c>
      <c r="C164" t="s">
        <v>193</v>
      </c>
      <c r="D164" t="s">
        <v>190</v>
      </c>
      <c r="E164">
        <v>26</v>
      </c>
      <c r="F164" t="s">
        <v>700</v>
      </c>
      <c r="G164" t="s">
        <v>1</v>
      </c>
      <c r="H164" s="26" t="s">
        <v>1420</v>
      </c>
      <c r="I164" t="s">
        <v>1</v>
      </c>
      <c r="J164" t="s">
        <v>1</v>
      </c>
      <c r="K164" t="s">
        <v>1</v>
      </c>
      <c r="L164" t="s">
        <v>1</v>
      </c>
      <c r="M164" t="s">
        <v>1</v>
      </c>
      <c r="N164" t="s">
        <v>1</v>
      </c>
      <c r="O164" t="s">
        <v>1</v>
      </c>
      <c r="P164" t="s">
        <v>1</v>
      </c>
      <c r="Q164" t="s">
        <v>1</v>
      </c>
      <c r="R164" t="s">
        <v>1</v>
      </c>
      <c r="S164" t="s">
        <v>1</v>
      </c>
      <c r="T164" t="s">
        <v>1</v>
      </c>
      <c r="U164" t="s">
        <v>1</v>
      </c>
      <c r="V164" t="s">
        <v>1</v>
      </c>
      <c r="W164" t="s">
        <v>1</v>
      </c>
      <c r="X164" t="s">
        <v>1</v>
      </c>
      <c r="Y164" t="s">
        <v>1</v>
      </c>
      <c r="Z164" t="s">
        <v>1</v>
      </c>
      <c r="AA164" t="s">
        <v>1</v>
      </c>
      <c r="AB164" t="s">
        <v>1</v>
      </c>
      <c r="AC164" t="s">
        <v>1</v>
      </c>
      <c r="AD164" t="s">
        <v>1</v>
      </c>
      <c r="AE164" t="s">
        <v>1</v>
      </c>
      <c r="AF164" t="s">
        <v>1</v>
      </c>
      <c r="AG164" t="s">
        <v>1</v>
      </c>
      <c r="AH164" t="s">
        <v>1</v>
      </c>
      <c r="AI164" t="s">
        <v>1</v>
      </c>
      <c r="AJ164" t="s">
        <v>1</v>
      </c>
      <c r="AK164" t="s">
        <v>1</v>
      </c>
      <c r="AL164" t="s">
        <v>1</v>
      </c>
      <c r="AM164" t="s">
        <v>1</v>
      </c>
      <c r="AN164">
        <v>163</v>
      </c>
      <c r="AO164">
        <f t="shared" si="12"/>
        <v>163</v>
      </c>
      <c r="AP164">
        <f t="shared" si="10"/>
        <v>26</v>
      </c>
      <c r="AQ164">
        <f t="shared" si="11"/>
        <v>26</v>
      </c>
      <c r="AR164" s="26" t="s">
        <v>1355</v>
      </c>
      <c r="AS164" s="26" t="s">
        <v>1356</v>
      </c>
      <c r="AT164" t="s">
        <v>710</v>
      </c>
      <c r="AU164" t="s">
        <v>1</v>
      </c>
      <c r="AV164" t="s">
        <v>1</v>
      </c>
      <c r="AW164">
        <v>38.43</v>
      </c>
      <c r="AX164">
        <v>106.35</v>
      </c>
      <c r="AY164" t="s">
        <v>737</v>
      </c>
      <c r="BA164" s="3">
        <v>3</v>
      </c>
      <c r="BB164" s="3"/>
      <c r="BC164" s="3"/>
      <c r="BD164" s="3"/>
      <c r="BE164" s="3"/>
      <c r="BF164">
        <v>2009</v>
      </c>
      <c r="BG164" s="24" t="s">
        <v>733</v>
      </c>
      <c r="BH164" s="24" t="s">
        <v>733</v>
      </c>
      <c r="BI164" s="24" t="s">
        <v>733</v>
      </c>
      <c r="BJ164" s="24" t="s">
        <v>732</v>
      </c>
      <c r="BK164" s="24" t="s">
        <v>733</v>
      </c>
      <c r="BL164" s="25" t="s">
        <v>733</v>
      </c>
      <c r="BM164" s="24" t="s">
        <v>733</v>
      </c>
      <c r="BN164" s="24" t="s">
        <v>732</v>
      </c>
      <c r="BO164" s="24" t="s">
        <v>733</v>
      </c>
      <c r="BP164" s="24" t="s">
        <v>733</v>
      </c>
      <c r="BQ164" s="24" t="s">
        <v>945</v>
      </c>
      <c r="BR164" s="24" t="s">
        <v>945</v>
      </c>
      <c r="BS164" s="25" t="s">
        <v>934</v>
      </c>
      <c r="BT164" s="24" t="s">
        <v>934</v>
      </c>
      <c r="BU164" s="24" t="s">
        <v>934</v>
      </c>
      <c r="BV164" s="24" t="s">
        <v>934</v>
      </c>
      <c r="BW164" s="24" t="s">
        <v>934</v>
      </c>
      <c r="BX164" s="24" t="s">
        <v>934</v>
      </c>
      <c r="BY164" s="25" t="s">
        <v>945</v>
      </c>
      <c r="BZ164" t="s">
        <v>788</v>
      </c>
      <c r="CB164" t="s">
        <v>191</v>
      </c>
      <c r="CC164" s="15">
        <f>(SUM(132.6,129.2,)*0.073+SUM(50,77.7)*0.1)*1000/2</f>
        <v>15940.699999999999</v>
      </c>
      <c r="CD164" s="15"/>
      <c r="CE164" s="15"/>
      <c r="CF164" t="s">
        <v>793</v>
      </c>
      <c r="CG164">
        <v>100</v>
      </c>
      <c r="CH164" t="s">
        <v>805</v>
      </c>
      <c r="CI164" s="1">
        <v>1</v>
      </c>
      <c r="CJ164" s="9" t="s">
        <v>1</v>
      </c>
      <c r="CK164" t="s">
        <v>807</v>
      </c>
      <c r="CL164" s="4">
        <f>SUM(7.3,6.2,0.9,2.5)*1000/2</f>
        <v>8450</v>
      </c>
      <c r="CM164" s="34" t="s">
        <v>1</v>
      </c>
      <c r="CN164" s="4" t="s">
        <v>1</v>
      </c>
      <c r="CO164" s="4"/>
      <c r="CP164" s="4" t="s">
        <v>1</v>
      </c>
      <c r="CQ164" s="4" t="s">
        <v>1</v>
      </c>
      <c r="CR164" s="4" t="s">
        <v>1</v>
      </c>
      <c r="CS164" s="4" t="s">
        <v>1</v>
      </c>
      <c r="CT164" s="4" t="s">
        <v>1</v>
      </c>
      <c r="CU164" s="4" t="s">
        <v>1</v>
      </c>
      <c r="CV164" t="s">
        <v>855</v>
      </c>
      <c r="CW164">
        <v>100</v>
      </c>
      <c r="CX164">
        <v>0</v>
      </c>
      <c r="CY164">
        <v>30</v>
      </c>
      <c r="CZ164" s="26" t="s">
        <v>1358</v>
      </c>
      <c r="DA164" t="s">
        <v>734</v>
      </c>
      <c r="DB164">
        <v>56.3</v>
      </c>
      <c r="DC164">
        <v>0</v>
      </c>
      <c r="DD164">
        <v>30</v>
      </c>
      <c r="DE164" s="26" t="s">
        <v>1358</v>
      </c>
      <c r="DF164" t="s">
        <v>735</v>
      </c>
      <c r="DG164">
        <v>28.7</v>
      </c>
      <c r="DH164">
        <v>0</v>
      </c>
      <c r="DI164">
        <v>30</v>
      </c>
      <c r="DJ164" s="26" t="s">
        <v>1358</v>
      </c>
      <c r="DK164" t="s">
        <v>736</v>
      </c>
      <c r="DL164">
        <v>15</v>
      </c>
      <c r="DM164">
        <v>0</v>
      </c>
      <c r="DN164">
        <v>30</v>
      </c>
      <c r="DO164" s="26" t="s">
        <v>1358</v>
      </c>
      <c r="DP164" t="s">
        <v>6</v>
      </c>
      <c r="DQ164" t="s">
        <v>813</v>
      </c>
      <c r="DR164">
        <v>8.3000000000000007</v>
      </c>
      <c r="DS164">
        <v>0</v>
      </c>
      <c r="DT164">
        <v>30</v>
      </c>
      <c r="DU164" s="26" t="s">
        <v>1358</v>
      </c>
      <c r="EA164" t="s">
        <v>982</v>
      </c>
      <c r="EB164">
        <v>17.600000000000001</v>
      </c>
      <c r="EC164">
        <v>0</v>
      </c>
      <c r="ED164">
        <v>30</v>
      </c>
      <c r="EE164" s="26" t="s">
        <v>1358</v>
      </c>
      <c r="EF164" s="26"/>
      <c r="FZ164" t="s">
        <v>806</v>
      </c>
      <c r="GA164">
        <v>0</v>
      </c>
      <c r="GE164" s="26" t="s">
        <v>1358</v>
      </c>
      <c r="HA164" s="11" t="s">
        <v>1</v>
      </c>
      <c r="HB164" s="1" t="s">
        <v>1</v>
      </c>
      <c r="HC164" t="s">
        <v>1</v>
      </c>
      <c r="HD164" t="s">
        <v>1</v>
      </c>
      <c r="HE164" t="s">
        <v>1</v>
      </c>
      <c r="HF164" s="5" t="s">
        <v>1063</v>
      </c>
      <c r="HG164" s="1">
        <v>1.96</v>
      </c>
      <c r="HH164">
        <v>0</v>
      </c>
      <c r="HI164">
        <v>30</v>
      </c>
      <c r="HJ164" s="26" t="s">
        <v>1358</v>
      </c>
      <c r="HK164" t="s">
        <v>815</v>
      </c>
      <c r="HL164">
        <v>1.37</v>
      </c>
      <c r="HM164">
        <v>0</v>
      </c>
      <c r="HN164">
        <v>30</v>
      </c>
      <c r="HO164" t="s">
        <v>1</v>
      </c>
      <c r="HP164" s="26" t="s">
        <v>1358</v>
      </c>
      <c r="HZ164" t="s">
        <v>969</v>
      </c>
      <c r="IA164">
        <v>1650</v>
      </c>
      <c r="IB164" s="10" t="s">
        <v>1</v>
      </c>
      <c r="IC164" s="10"/>
      <c r="ID164" s="10"/>
      <c r="IE164" s="10" t="s">
        <v>1</v>
      </c>
      <c r="IF164" s="10" t="s">
        <v>1</v>
      </c>
      <c r="IG164" s="10"/>
      <c r="IH164" s="10"/>
      <c r="II164" s="10"/>
      <c r="IJ164" s="10"/>
      <c r="IK164" s="10"/>
      <c r="IL164" s="10"/>
      <c r="IM164" s="10"/>
      <c r="IN164" s="10"/>
      <c r="IO164" s="10"/>
      <c r="IP164" s="10"/>
      <c r="IQ164" s="10"/>
      <c r="IR164" s="10"/>
      <c r="IS164" t="s">
        <v>978</v>
      </c>
      <c r="IT164">
        <v>316</v>
      </c>
      <c r="IW164" t="s">
        <v>1</v>
      </c>
      <c r="IX164" t="s">
        <v>1</v>
      </c>
      <c r="IY164" t="s">
        <v>808</v>
      </c>
      <c r="IZ164">
        <v>6080</v>
      </c>
      <c r="JA164" t="s">
        <v>1</v>
      </c>
      <c r="JB164" s="3" t="s">
        <v>1</v>
      </c>
      <c r="JC164" t="s">
        <v>965</v>
      </c>
      <c r="JD164" s="1">
        <f>SUM(3.7,0.21,1,0.19,8.5,0.84,5.9,0.4,6.5,0.41,12.8,0.31,7.5,3.4,1.1,0.04,8.4,0.14,1,0.03,2.1,0.68,4.6,0.75,6.7,0.71,11.7,0.36)/2</f>
        <v>44.984999999999999</v>
      </c>
      <c r="JE164" t="s">
        <v>810</v>
      </c>
      <c r="JF164">
        <v>100</v>
      </c>
      <c r="JR164" t="s">
        <v>1066</v>
      </c>
      <c r="JS164">
        <v>658.9</v>
      </c>
      <c r="JU164" t="s">
        <v>1</v>
      </c>
      <c r="JW164" t="s">
        <v>1</v>
      </c>
      <c r="JX164">
        <v>0</v>
      </c>
      <c r="JY164">
        <v>90</v>
      </c>
      <c r="JZ164" t="s">
        <v>796</v>
      </c>
      <c r="KA164" t="s">
        <v>192</v>
      </c>
      <c r="KB164" t="s">
        <v>738</v>
      </c>
      <c r="KC164" t="s">
        <v>1067</v>
      </c>
      <c r="KD164" s="1">
        <f>SUM(0.99,0.13,1.01,0.43,0.44)/2</f>
        <v>1.5</v>
      </c>
      <c r="KE164" s="11" t="s">
        <v>1</v>
      </c>
      <c r="KF164" s="11" t="s">
        <v>1</v>
      </c>
      <c r="KG164">
        <v>0</v>
      </c>
      <c r="KH164">
        <v>90</v>
      </c>
      <c r="KI164" t="s">
        <v>796</v>
      </c>
      <c r="KJ164" t="s">
        <v>192</v>
      </c>
      <c r="KK164" t="s">
        <v>738</v>
      </c>
    </row>
    <row r="165" spans="1:297" x14ac:dyDescent="0.2">
      <c r="A165">
        <v>164</v>
      </c>
      <c r="B165" t="s">
        <v>705</v>
      </c>
      <c r="C165" t="s">
        <v>1317</v>
      </c>
      <c r="D165" t="s">
        <v>190</v>
      </c>
      <c r="E165">
        <v>26</v>
      </c>
      <c r="F165" t="s">
        <v>700</v>
      </c>
      <c r="G165" t="s">
        <v>1</v>
      </c>
      <c r="H165" s="26" t="s">
        <v>1420</v>
      </c>
      <c r="I165" t="s">
        <v>1</v>
      </c>
      <c r="J165" t="s">
        <v>1</v>
      </c>
      <c r="K165" t="s">
        <v>1</v>
      </c>
      <c r="L165" t="s">
        <v>1</v>
      </c>
      <c r="M165" t="s">
        <v>1</v>
      </c>
      <c r="N165" t="s">
        <v>1</v>
      </c>
      <c r="O165" t="s">
        <v>1</v>
      </c>
      <c r="P165" t="s">
        <v>1</v>
      </c>
      <c r="Q165" t="s">
        <v>1</v>
      </c>
      <c r="R165" t="s">
        <v>1</v>
      </c>
      <c r="S165" t="s">
        <v>1</v>
      </c>
      <c r="T165" t="s">
        <v>1</v>
      </c>
      <c r="U165" t="s">
        <v>1</v>
      </c>
      <c r="V165" t="s">
        <v>1</v>
      </c>
      <c r="W165" t="s">
        <v>1</v>
      </c>
      <c r="X165" t="s">
        <v>1</v>
      </c>
      <c r="Y165" t="s">
        <v>1</v>
      </c>
      <c r="Z165" t="s">
        <v>1</v>
      </c>
      <c r="AA165" t="s">
        <v>1</v>
      </c>
      <c r="AB165" t="s">
        <v>1</v>
      </c>
      <c r="AC165" t="s">
        <v>1</v>
      </c>
      <c r="AD165" t="s">
        <v>1</v>
      </c>
      <c r="AE165" t="s">
        <v>1</v>
      </c>
      <c r="AF165" t="s">
        <v>1</v>
      </c>
      <c r="AG165" t="s">
        <v>1</v>
      </c>
      <c r="AH165" t="s">
        <v>1</v>
      </c>
      <c r="AI165" t="s">
        <v>1</v>
      </c>
      <c r="AJ165" t="s">
        <v>1</v>
      </c>
      <c r="AK165" t="s">
        <v>1</v>
      </c>
      <c r="AL165" t="s">
        <v>1</v>
      </c>
      <c r="AM165" t="s">
        <v>1</v>
      </c>
      <c r="AN165">
        <v>164</v>
      </c>
      <c r="AO165">
        <f t="shared" si="12"/>
        <v>164</v>
      </c>
      <c r="AP165">
        <f t="shared" si="10"/>
        <v>26</v>
      </c>
      <c r="AQ165">
        <f t="shared" si="11"/>
        <v>26</v>
      </c>
      <c r="AR165" s="26" t="s">
        <v>1355</v>
      </c>
      <c r="AS165" s="26" t="s">
        <v>1356</v>
      </c>
      <c r="AT165" t="s">
        <v>710</v>
      </c>
      <c r="AU165" t="s">
        <v>1</v>
      </c>
      <c r="AV165" t="s">
        <v>1</v>
      </c>
      <c r="AW165">
        <v>38.43</v>
      </c>
      <c r="AX165">
        <v>106.35</v>
      </c>
      <c r="AY165" t="s">
        <v>737</v>
      </c>
      <c r="BA165" s="3">
        <v>3</v>
      </c>
      <c r="BB165" s="3"/>
      <c r="BC165" s="3"/>
      <c r="BD165" s="3"/>
      <c r="BE165" s="3"/>
      <c r="BF165">
        <v>2009</v>
      </c>
      <c r="BG165" s="24" t="s">
        <v>733</v>
      </c>
      <c r="BH165" s="24" t="s">
        <v>733</v>
      </c>
      <c r="BI165" s="24" t="s">
        <v>733</v>
      </c>
      <c r="BJ165" s="24" t="s">
        <v>732</v>
      </c>
      <c r="BK165" s="24" t="s">
        <v>733</v>
      </c>
      <c r="BL165" s="25" t="s">
        <v>733</v>
      </c>
      <c r="BM165" s="24" t="s">
        <v>733</v>
      </c>
      <c r="BN165" s="24" t="s">
        <v>732</v>
      </c>
      <c r="BO165" s="24" t="s">
        <v>733</v>
      </c>
      <c r="BP165" s="24" t="s">
        <v>733</v>
      </c>
      <c r="BQ165" s="24" t="s">
        <v>945</v>
      </c>
      <c r="BR165" s="24" t="s">
        <v>945</v>
      </c>
      <c r="BS165" s="25" t="s">
        <v>934</v>
      </c>
      <c r="BT165" s="24" t="s">
        <v>934</v>
      </c>
      <c r="BU165" s="24" t="s">
        <v>934</v>
      </c>
      <c r="BV165" s="24" t="s">
        <v>934</v>
      </c>
      <c r="BW165" s="24" t="s">
        <v>934</v>
      </c>
      <c r="BX165" s="24" t="s">
        <v>934</v>
      </c>
      <c r="BY165" s="25" t="s">
        <v>945</v>
      </c>
      <c r="BZ165" t="s">
        <v>788</v>
      </c>
      <c r="CB165" t="s">
        <v>191</v>
      </c>
      <c r="CC165" s="15">
        <f>(SUM(128.4,130)*0.073+SUM(48.5,79.3)*0.1)*1000/2</f>
        <v>15821.599999999999</v>
      </c>
      <c r="CD165" s="15"/>
      <c r="CE165" s="15"/>
      <c r="CF165" t="s">
        <v>793</v>
      </c>
      <c r="CG165">
        <v>100</v>
      </c>
      <c r="CH165" t="s">
        <v>805</v>
      </c>
      <c r="CI165" s="1">
        <v>1</v>
      </c>
      <c r="CJ165" s="9" t="s">
        <v>1</v>
      </c>
      <c r="CK165" t="s">
        <v>807</v>
      </c>
      <c r="CL165" s="4">
        <f>SUM(6.9,5.7,1.3,2.4)*1000/2</f>
        <v>8150</v>
      </c>
      <c r="CM165" s="34" t="s">
        <v>1</v>
      </c>
      <c r="CN165" s="4" t="s">
        <v>1</v>
      </c>
      <c r="CO165" s="4"/>
      <c r="CP165" s="4" t="s">
        <v>1</v>
      </c>
      <c r="CQ165" s="4" t="s">
        <v>1</v>
      </c>
      <c r="CR165" s="4" t="s">
        <v>1</v>
      </c>
      <c r="CS165" s="4" t="s">
        <v>1</v>
      </c>
      <c r="CT165" s="4" t="s">
        <v>1</v>
      </c>
      <c r="CU165" s="4" t="s">
        <v>1</v>
      </c>
      <c r="CV165" t="s">
        <v>855</v>
      </c>
      <c r="CW165">
        <v>100</v>
      </c>
      <c r="CX165">
        <v>0</v>
      </c>
      <c r="CY165">
        <v>30</v>
      </c>
      <c r="CZ165" s="26" t="s">
        <v>1358</v>
      </c>
      <c r="DA165" t="s">
        <v>734</v>
      </c>
      <c r="DB165">
        <v>56.3</v>
      </c>
      <c r="DC165">
        <v>0</v>
      </c>
      <c r="DD165">
        <v>30</v>
      </c>
      <c r="DE165" s="26" t="s">
        <v>1358</v>
      </c>
      <c r="DF165" t="s">
        <v>735</v>
      </c>
      <c r="DG165">
        <v>28.7</v>
      </c>
      <c r="DH165">
        <v>0</v>
      </c>
      <c r="DI165">
        <v>30</v>
      </c>
      <c r="DJ165" s="26" t="s">
        <v>1358</v>
      </c>
      <c r="DK165" t="s">
        <v>736</v>
      </c>
      <c r="DL165">
        <v>15</v>
      </c>
      <c r="DM165">
        <v>0</v>
      </c>
      <c r="DN165">
        <v>30</v>
      </c>
      <c r="DO165" s="26" t="s">
        <v>1358</v>
      </c>
      <c r="DP165" t="s">
        <v>6</v>
      </c>
      <c r="DQ165" t="s">
        <v>813</v>
      </c>
      <c r="DR165">
        <v>8.3000000000000007</v>
      </c>
      <c r="DS165">
        <v>0</v>
      </c>
      <c r="DT165">
        <v>30</v>
      </c>
      <c r="DU165" s="26" t="s">
        <v>1358</v>
      </c>
      <c r="EA165" t="s">
        <v>982</v>
      </c>
      <c r="EB165">
        <v>17.600000000000001</v>
      </c>
      <c r="EC165">
        <v>0</v>
      </c>
      <c r="ED165">
        <v>30</v>
      </c>
      <c r="EE165" s="26" t="s">
        <v>1358</v>
      </c>
      <c r="EF165" s="26"/>
      <c r="FZ165" t="s">
        <v>806</v>
      </c>
      <c r="GA165">
        <v>0</v>
      </c>
      <c r="GE165" s="26" t="s">
        <v>1358</v>
      </c>
      <c r="HA165" s="11" t="s">
        <v>1</v>
      </c>
      <c r="HB165" s="1" t="s">
        <v>1</v>
      </c>
      <c r="HC165" t="s">
        <v>1</v>
      </c>
      <c r="HD165" t="s">
        <v>1</v>
      </c>
      <c r="HE165" t="s">
        <v>1</v>
      </c>
      <c r="HF165" s="5" t="s">
        <v>1063</v>
      </c>
      <c r="HG165" s="1">
        <v>1.96</v>
      </c>
      <c r="HH165">
        <v>0</v>
      </c>
      <c r="HI165">
        <v>30</v>
      </c>
      <c r="HJ165" s="26" t="s">
        <v>1358</v>
      </c>
      <c r="HK165" t="s">
        <v>815</v>
      </c>
      <c r="HL165">
        <v>1.37</v>
      </c>
      <c r="HM165">
        <v>0</v>
      </c>
      <c r="HN165">
        <v>30</v>
      </c>
      <c r="HO165" t="s">
        <v>1</v>
      </c>
      <c r="HP165" s="26" t="s">
        <v>1358</v>
      </c>
      <c r="HZ165" t="s">
        <v>969</v>
      </c>
      <c r="IA165">
        <v>1200</v>
      </c>
      <c r="IB165" s="10" t="s">
        <v>1</v>
      </c>
      <c r="IC165" s="10"/>
      <c r="ID165" s="10"/>
      <c r="IE165" s="10" t="s">
        <v>1</v>
      </c>
      <c r="IF165" s="10" t="s">
        <v>1</v>
      </c>
      <c r="IG165" s="10"/>
      <c r="IH165" s="10"/>
      <c r="II165" s="10"/>
      <c r="IJ165" s="10"/>
      <c r="IK165" s="10"/>
      <c r="IL165" s="10"/>
      <c r="IM165" s="10"/>
      <c r="IN165" s="10"/>
      <c r="IO165" s="10"/>
      <c r="IP165" s="10"/>
      <c r="IQ165" s="10"/>
      <c r="IR165" s="10"/>
      <c r="IS165" t="s">
        <v>978</v>
      </c>
      <c r="IT165">
        <v>316</v>
      </c>
      <c r="IW165" t="s">
        <v>1</v>
      </c>
      <c r="IX165" t="s">
        <v>1</v>
      </c>
      <c r="IY165" t="s">
        <v>808</v>
      </c>
      <c r="IZ165">
        <v>6080</v>
      </c>
      <c r="JA165" t="s">
        <v>1</v>
      </c>
      <c r="JB165" s="3" t="s">
        <v>1</v>
      </c>
      <c r="JC165" t="s">
        <v>965</v>
      </c>
      <c r="JD165" s="1">
        <f>SUM(3.7,0.21,1,0.19,8.5,0.84,5.9,0.4,6.5,0.41,12.8,0.31,7.5,3.4,1.1,0.04,8.4,0.14,1,0.03,2.1,0.68,4.6,0.75,6.7,0.71,11.7,0.36)/2</f>
        <v>44.984999999999999</v>
      </c>
      <c r="JE165" t="s">
        <v>810</v>
      </c>
      <c r="JF165">
        <v>100</v>
      </c>
      <c r="JR165" t="s">
        <v>1066</v>
      </c>
      <c r="JS165">
        <v>572.6</v>
      </c>
      <c r="JU165" t="s">
        <v>1</v>
      </c>
      <c r="JW165" t="s">
        <v>1</v>
      </c>
      <c r="JX165">
        <v>0</v>
      </c>
      <c r="JY165">
        <v>90</v>
      </c>
      <c r="JZ165" t="s">
        <v>796</v>
      </c>
      <c r="KA165" t="s">
        <v>192</v>
      </c>
      <c r="KB165" t="s">
        <v>738</v>
      </c>
      <c r="KC165" t="s">
        <v>1067</v>
      </c>
      <c r="KD165" s="1">
        <f>SUM(0.97,0.15,1.03,0.24,0.53)/2</f>
        <v>1.46</v>
      </c>
      <c r="KE165" s="11" t="s">
        <v>1</v>
      </c>
      <c r="KF165" s="11" t="s">
        <v>1</v>
      </c>
      <c r="KG165">
        <v>0</v>
      </c>
      <c r="KH165">
        <v>90</v>
      </c>
      <c r="KI165" t="s">
        <v>796</v>
      </c>
      <c r="KJ165" t="s">
        <v>192</v>
      </c>
      <c r="KK165" t="s">
        <v>738</v>
      </c>
    </row>
    <row r="166" spans="1:297" x14ac:dyDescent="0.2">
      <c r="A166">
        <v>165</v>
      </c>
      <c r="B166" t="s">
        <v>705</v>
      </c>
      <c r="C166" t="s">
        <v>1318</v>
      </c>
      <c r="D166" t="s">
        <v>190</v>
      </c>
      <c r="E166">
        <v>26</v>
      </c>
      <c r="F166" t="s">
        <v>700</v>
      </c>
      <c r="G166" t="s">
        <v>1</v>
      </c>
      <c r="H166" s="26" t="s">
        <v>1420</v>
      </c>
      <c r="I166" t="s">
        <v>1</v>
      </c>
      <c r="J166" t="s">
        <v>1</v>
      </c>
      <c r="K166" t="s">
        <v>1</v>
      </c>
      <c r="L166" t="s">
        <v>1</v>
      </c>
      <c r="M166" t="s">
        <v>1</v>
      </c>
      <c r="N166" t="s">
        <v>1</v>
      </c>
      <c r="O166" t="s">
        <v>1</v>
      </c>
      <c r="P166" t="s">
        <v>1</v>
      </c>
      <c r="Q166" t="s">
        <v>1</v>
      </c>
      <c r="R166" t="s">
        <v>1</v>
      </c>
      <c r="S166" t="s">
        <v>1</v>
      </c>
      <c r="T166" t="s">
        <v>1</v>
      </c>
      <c r="U166" t="s">
        <v>1</v>
      </c>
      <c r="V166" t="s">
        <v>1</v>
      </c>
      <c r="W166" t="s">
        <v>1</v>
      </c>
      <c r="X166" t="s">
        <v>1</v>
      </c>
      <c r="Y166" t="s">
        <v>1</v>
      </c>
      <c r="Z166" t="s">
        <v>1</v>
      </c>
      <c r="AA166" t="s">
        <v>1</v>
      </c>
      <c r="AB166" t="s">
        <v>1</v>
      </c>
      <c r="AC166" t="s">
        <v>1</v>
      </c>
      <c r="AD166" t="s">
        <v>1</v>
      </c>
      <c r="AE166" t="s">
        <v>1</v>
      </c>
      <c r="AF166" t="s">
        <v>1</v>
      </c>
      <c r="AG166" t="s">
        <v>1</v>
      </c>
      <c r="AH166" t="s">
        <v>1</v>
      </c>
      <c r="AI166" t="s">
        <v>1</v>
      </c>
      <c r="AJ166" t="s">
        <v>1</v>
      </c>
      <c r="AK166" t="s">
        <v>1</v>
      </c>
      <c r="AL166" t="s">
        <v>1</v>
      </c>
      <c r="AM166" t="s">
        <v>1</v>
      </c>
      <c r="AN166">
        <v>165</v>
      </c>
      <c r="AO166">
        <f t="shared" si="12"/>
        <v>165</v>
      </c>
      <c r="AP166">
        <f t="shared" si="10"/>
        <v>26</v>
      </c>
      <c r="AQ166">
        <f t="shared" si="11"/>
        <v>26</v>
      </c>
      <c r="AR166" s="26" t="s">
        <v>1355</v>
      </c>
      <c r="AS166" s="26" t="s">
        <v>1356</v>
      </c>
      <c r="AT166" t="s">
        <v>710</v>
      </c>
      <c r="AU166" t="s">
        <v>1</v>
      </c>
      <c r="AV166" t="s">
        <v>1</v>
      </c>
      <c r="AW166">
        <v>38.43</v>
      </c>
      <c r="AX166">
        <v>106.35</v>
      </c>
      <c r="AY166" t="s">
        <v>737</v>
      </c>
      <c r="BA166" s="3">
        <v>3</v>
      </c>
      <c r="BB166" s="3"/>
      <c r="BC166" s="3"/>
      <c r="BD166" s="3"/>
      <c r="BE166" s="3"/>
      <c r="BF166">
        <v>2009</v>
      </c>
      <c r="BG166" s="24" t="s">
        <v>733</v>
      </c>
      <c r="BH166" s="24" t="s">
        <v>733</v>
      </c>
      <c r="BI166" s="24" t="s">
        <v>733</v>
      </c>
      <c r="BJ166" s="24" t="s">
        <v>732</v>
      </c>
      <c r="BK166" s="24" t="s">
        <v>733</v>
      </c>
      <c r="BL166" s="25" t="s">
        <v>733</v>
      </c>
      <c r="BM166" s="24" t="s">
        <v>733</v>
      </c>
      <c r="BN166" s="24" t="s">
        <v>732</v>
      </c>
      <c r="BO166" s="24" t="s">
        <v>733</v>
      </c>
      <c r="BP166" s="24" t="s">
        <v>733</v>
      </c>
      <c r="BQ166" s="24" t="s">
        <v>945</v>
      </c>
      <c r="BR166" s="24" t="s">
        <v>945</v>
      </c>
      <c r="BS166" s="25" t="s">
        <v>934</v>
      </c>
      <c r="BT166" s="24" t="s">
        <v>934</v>
      </c>
      <c r="BU166" s="24" t="s">
        <v>934</v>
      </c>
      <c r="BV166" s="24" t="s">
        <v>934</v>
      </c>
      <c r="BW166" s="24" t="s">
        <v>934</v>
      </c>
      <c r="BX166" s="24" t="s">
        <v>934</v>
      </c>
      <c r="BY166" s="25" t="s">
        <v>945</v>
      </c>
      <c r="BZ166" t="s">
        <v>788</v>
      </c>
      <c r="CB166" t="s">
        <v>191</v>
      </c>
      <c r="CC166" s="15">
        <f>(SUM(133.5,139.8)*0.073+SUM(49.1,72.6)*0.1)*1000/2</f>
        <v>16060.449999999999</v>
      </c>
      <c r="CD166" s="15"/>
      <c r="CE166" s="15"/>
      <c r="CF166" t="s">
        <v>793</v>
      </c>
      <c r="CG166">
        <v>100</v>
      </c>
      <c r="CH166" t="s">
        <v>805</v>
      </c>
      <c r="CI166" s="1">
        <v>1</v>
      </c>
      <c r="CJ166" s="9" t="s">
        <v>1</v>
      </c>
      <c r="CK166" t="s">
        <v>807</v>
      </c>
      <c r="CL166" s="4">
        <f>SUM(7.8,5.8,1,2.6)*1000/2</f>
        <v>8600</v>
      </c>
      <c r="CM166" s="34" t="s">
        <v>1</v>
      </c>
      <c r="CN166" s="4" t="s">
        <v>1</v>
      </c>
      <c r="CO166" s="4"/>
      <c r="CP166" s="4" t="s">
        <v>1</v>
      </c>
      <c r="CQ166" s="4" t="s">
        <v>1</v>
      </c>
      <c r="CR166" s="4" t="s">
        <v>1</v>
      </c>
      <c r="CS166" s="4" t="s">
        <v>1</v>
      </c>
      <c r="CT166" s="4" t="s">
        <v>1</v>
      </c>
      <c r="CU166" s="4" t="s">
        <v>1</v>
      </c>
      <c r="CV166" t="s">
        <v>855</v>
      </c>
      <c r="CW166">
        <v>100</v>
      </c>
      <c r="CX166">
        <v>0</v>
      </c>
      <c r="CY166">
        <v>30</v>
      </c>
      <c r="CZ166" s="26" t="s">
        <v>1358</v>
      </c>
      <c r="DA166" t="s">
        <v>734</v>
      </c>
      <c r="DB166">
        <v>56.3</v>
      </c>
      <c r="DC166">
        <v>0</v>
      </c>
      <c r="DD166">
        <v>30</v>
      </c>
      <c r="DE166" s="26" t="s">
        <v>1358</v>
      </c>
      <c r="DF166" t="s">
        <v>735</v>
      </c>
      <c r="DG166">
        <v>28.7</v>
      </c>
      <c r="DH166">
        <v>0</v>
      </c>
      <c r="DI166">
        <v>30</v>
      </c>
      <c r="DJ166" s="26" t="s">
        <v>1358</v>
      </c>
      <c r="DK166" t="s">
        <v>736</v>
      </c>
      <c r="DL166">
        <v>15</v>
      </c>
      <c r="DM166">
        <v>0</v>
      </c>
      <c r="DN166">
        <v>30</v>
      </c>
      <c r="DO166" s="26" t="s">
        <v>1358</v>
      </c>
      <c r="DP166" t="s">
        <v>6</v>
      </c>
      <c r="DQ166" t="s">
        <v>813</v>
      </c>
      <c r="DR166">
        <v>8.3000000000000007</v>
      </c>
      <c r="DS166">
        <v>0</v>
      </c>
      <c r="DT166">
        <v>30</v>
      </c>
      <c r="DU166" s="26" t="s">
        <v>1358</v>
      </c>
      <c r="EA166" t="s">
        <v>982</v>
      </c>
      <c r="EB166">
        <v>17.600000000000001</v>
      </c>
      <c r="EC166">
        <v>0</v>
      </c>
      <c r="ED166">
        <v>30</v>
      </c>
      <c r="EE166" s="26" t="s">
        <v>1358</v>
      </c>
      <c r="EF166" s="26"/>
      <c r="FZ166" t="s">
        <v>806</v>
      </c>
      <c r="GA166">
        <v>0</v>
      </c>
      <c r="GE166" s="26" t="s">
        <v>1358</v>
      </c>
      <c r="HA166" s="11" t="s">
        <v>1</v>
      </c>
      <c r="HB166" s="1" t="s">
        <v>1</v>
      </c>
      <c r="HC166" t="s">
        <v>1</v>
      </c>
      <c r="HD166" t="s">
        <v>1</v>
      </c>
      <c r="HE166" t="s">
        <v>1</v>
      </c>
      <c r="HF166" s="5" t="s">
        <v>1063</v>
      </c>
      <c r="HG166" s="1">
        <v>1.96</v>
      </c>
      <c r="HH166">
        <v>0</v>
      </c>
      <c r="HI166">
        <v>30</v>
      </c>
      <c r="HJ166" s="26" t="s">
        <v>1358</v>
      </c>
      <c r="HK166" t="s">
        <v>815</v>
      </c>
      <c r="HL166">
        <v>1.37</v>
      </c>
      <c r="HM166">
        <v>0</v>
      </c>
      <c r="HN166">
        <v>30</v>
      </c>
      <c r="HO166" t="s">
        <v>1</v>
      </c>
      <c r="HP166" s="26" t="s">
        <v>1358</v>
      </c>
      <c r="HZ166" t="s">
        <v>969</v>
      </c>
      <c r="IA166">
        <v>1200</v>
      </c>
      <c r="IB166" s="10" t="s">
        <v>1</v>
      </c>
      <c r="IC166" s="10"/>
      <c r="ID166" s="10"/>
      <c r="IE166" s="10" t="s">
        <v>1</v>
      </c>
      <c r="IF166" s="10" t="s">
        <v>1</v>
      </c>
      <c r="IG166" s="10"/>
      <c r="IH166" s="10"/>
      <c r="II166" s="10"/>
      <c r="IJ166" s="10"/>
      <c r="IK166" s="10"/>
      <c r="IL166" s="10"/>
      <c r="IM166" s="10"/>
      <c r="IN166" s="10"/>
      <c r="IO166" s="10"/>
      <c r="IP166" s="10"/>
      <c r="IQ166" s="10"/>
      <c r="IR166" s="10"/>
      <c r="IS166" t="s">
        <v>978</v>
      </c>
      <c r="IT166">
        <v>420</v>
      </c>
      <c r="IW166" t="s">
        <v>1</v>
      </c>
      <c r="IX166" t="s">
        <v>1</v>
      </c>
      <c r="IY166" t="s">
        <v>808</v>
      </c>
      <c r="IZ166">
        <v>6080</v>
      </c>
      <c r="JA166" t="s">
        <v>1</v>
      </c>
      <c r="JB166" s="3" t="s">
        <v>1</v>
      </c>
      <c r="JC166" t="s">
        <v>965</v>
      </c>
      <c r="JD166" s="1">
        <f>SUM(3.7,0.21,1,0.19,8.5,0.84,5.9,0.4,6.5,0.41,12.8,0.31,7.5,3.4,1.1,0.04,8.4,0.14,1,0.03,2.1,0.68,4.6,0.75,6.7,0.71,11.7,0.36)/2</f>
        <v>44.984999999999999</v>
      </c>
      <c r="JE166" t="s">
        <v>810</v>
      </c>
      <c r="JF166">
        <v>100</v>
      </c>
      <c r="JR166" t="s">
        <v>1066</v>
      </c>
      <c r="JS166">
        <v>545.1</v>
      </c>
      <c r="JU166" t="s">
        <v>1</v>
      </c>
      <c r="JW166" t="s">
        <v>1</v>
      </c>
      <c r="JX166">
        <v>0</v>
      </c>
      <c r="JY166">
        <v>90</v>
      </c>
      <c r="JZ166" t="s">
        <v>796</v>
      </c>
      <c r="KA166" t="s">
        <v>192</v>
      </c>
      <c r="KB166" t="s">
        <v>738</v>
      </c>
      <c r="KC166" t="s">
        <v>1067</v>
      </c>
      <c r="KD166" s="1">
        <f>SUM(0.94,0.08,0.99,0.36,0.59)/2</f>
        <v>1.4799999999999998</v>
      </c>
      <c r="KE166" s="11" t="s">
        <v>1</v>
      </c>
      <c r="KF166" s="11" t="s">
        <v>1</v>
      </c>
      <c r="KG166">
        <v>0</v>
      </c>
      <c r="KH166">
        <v>90</v>
      </c>
      <c r="KI166" t="s">
        <v>796</v>
      </c>
      <c r="KJ166" t="s">
        <v>192</v>
      </c>
      <c r="KK166" t="s">
        <v>738</v>
      </c>
    </row>
    <row r="167" spans="1:297" x14ac:dyDescent="0.2">
      <c r="A167">
        <v>166</v>
      </c>
      <c r="B167" t="s">
        <v>705</v>
      </c>
      <c r="C167" t="s">
        <v>196</v>
      </c>
      <c r="D167" t="s">
        <v>194</v>
      </c>
      <c r="E167">
        <v>27</v>
      </c>
      <c r="F167" t="s">
        <v>195</v>
      </c>
      <c r="G167" t="s">
        <v>1</v>
      </c>
      <c r="H167" s="26" t="s">
        <v>1420</v>
      </c>
      <c r="I167" t="s">
        <v>1</v>
      </c>
      <c r="J167" t="s">
        <v>1</v>
      </c>
      <c r="K167" t="s">
        <v>1</v>
      </c>
      <c r="L167" t="s">
        <v>1</v>
      </c>
      <c r="M167" t="s">
        <v>1</v>
      </c>
      <c r="N167" t="s">
        <v>1</v>
      </c>
      <c r="O167" t="s">
        <v>1</v>
      </c>
      <c r="P167" t="s">
        <v>1</v>
      </c>
      <c r="Q167" t="s">
        <v>1</v>
      </c>
      <c r="R167" t="s">
        <v>1</v>
      </c>
      <c r="S167" t="s">
        <v>1</v>
      </c>
      <c r="T167" t="s">
        <v>1</v>
      </c>
      <c r="U167" t="s">
        <v>1</v>
      </c>
      <c r="V167" t="s">
        <v>1</v>
      </c>
      <c r="W167" t="s">
        <v>1</v>
      </c>
      <c r="X167" t="s">
        <v>1</v>
      </c>
      <c r="Y167" t="s">
        <v>1</v>
      </c>
      <c r="Z167" t="s">
        <v>1</v>
      </c>
      <c r="AA167" t="s">
        <v>1</v>
      </c>
      <c r="AB167" t="s">
        <v>1</v>
      </c>
      <c r="AC167" t="s">
        <v>1</v>
      </c>
      <c r="AD167" t="s">
        <v>1</v>
      </c>
      <c r="AE167" t="s">
        <v>1</v>
      </c>
      <c r="AF167" t="s">
        <v>1</v>
      </c>
      <c r="AG167" t="s">
        <v>1</v>
      </c>
      <c r="AH167" t="s">
        <v>1</v>
      </c>
      <c r="AI167" t="s">
        <v>1</v>
      </c>
      <c r="AJ167" t="s">
        <v>1</v>
      </c>
      <c r="AK167" t="s">
        <v>1</v>
      </c>
      <c r="AL167" t="s">
        <v>1</v>
      </c>
      <c r="AM167" t="s">
        <v>1</v>
      </c>
      <c r="AN167">
        <v>166</v>
      </c>
      <c r="AO167">
        <f t="shared" si="12"/>
        <v>166</v>
      </c>
      <c r="AP167">
        <f t="shared" si="10"/>
        <v>27</v>
      </c>
      <c r="AQ167">
        <f t="shared" si="11"/>
        <v>27</v>
      </c>
      <c r="AR167" s="26" t="s">
        <v>1355</v>
      </c>
      <c r="AS167" s="26" t="s">
        <v>1356</v>
      </c>
      <c r="AT167" t="s">
        <v>710</v>
      </c>
      <c r="AU167" t="s">
        <v>1</v>
      </c>
      <c r="AV167" t="s">
        <v>1</v>
      </c>
      <c r="AW167">
        <v>31.23</v>
      </c>
      <c r="AX167">
        <v>119.88</v>
      </c>
      <c r="AY167" t="s">
        <v>737</v>
      </c>
      <c r="BA167" s="3">
        <v>4</v>
      </c>
      <c r="BB167" s="3"/>
      <c r="BC167" s="3"/>
      <c r="BD167" s="3"/>
      <c r="BE167" s="3"/>
      <c r="BF167">
        <v>2010</v>
      </c>
      <c r="BG167" s="24" t="s">
        <v>733</v>
      </c>
      <c r="BH167" s="24" t="s">
        <v>733</v>
      </c>
      <c r="BI167" s="24" t="s">
        <v>733</v>
      </c>
      <c r="BJ167" s="24" t="s">
        <v>732</v>
      </c>
      <c r="BK167" s="24" t="s">
        <v>733</v>
      </c>
      <c r="BL167" s="25" t="s">
        <v>733</v>
      </c>
      <c r="BM167" s="24" t="s">
        <v>733</v>
      </c>
      <c r="BN167" s="24" t="s">
        <v>732</v>
      </c>
      <c r="BO167" s="24" t="s">
        <v>733</v>
      </c>
      <c r="BP167" s="24" t="s">
        <v>733</v>
      </c>
      <c r="BQ167" s="24" t="s">
        <v>945</v>
      </c>
      <c r="BR167" s="24" t="s">
        <v>945</v>
      </c>
      <c r="BS167" s="25" t="s">
        <v>934</v>
      </c>
      <c r="BT167" s="24" t="s">
        <v>934</v>
      </c>
      <c r="BU167" s="24" t="s">
        <v>934</v>
      </c>
      <c r="BV167" s="24" t="s">
        <v>934</v>
      </c>
      <c r="BW167" s="24" t="s">
        <v>934</v>
      </c>
      <c r="BX167" s="24" t="s">
        <v>934</v>
      </c>
      <c r="BY167" s="25" t="s">
        <v>945</v>
      </c>
      <c r="BZ167" t="s">
        <v>788</v>
      </c>
      <c r="CB167" t="s">
        <v>197</v>
      </c>
      <c r="CC167" s="4">
        <f>AVERAGE(30.4,28,33.7,37.9)*1000*0.073+AVERAGE(17.7,14.2,14.3,14.6)*1000*0.1+AVERAGE(54.5,31.7,35.4,36.5)*1000*0.1</f>
        <v>7845</v>
      </c>
      <c r="CD167" s="4"/>
      <c r="CE167" s="4"/>
      <c r="CF167" t="s">
        <v>793</v>
      </c>
      <c r="CG167">
        <v>100</v>
      </c>
      <c r="CH167" t="s">
        <v>805</v>
      </c>
      <c r="CI167" s="1">
        <v>1</v>
      </c>
      <c r="CJ167" s="10" t="s">
        <v>1445</v>
      </c>
      <c r="CK167" s="9" t="s">
        <v>1</v>
      </c>
      <c r="CL167" s="4" t="s">
        <v>1</v>
      </c>
      <c r="CM167" t="s">
        <v>847</v>
      </c>
      <c r="CN167" s="4">
        <f>AVERAGE(85.9,62.1,67.3,70)</f>
        <v>71.325000000000003</v>
      </c>
      <c r="CO167" s="21"/>
      <c r="CP167" s="4" t="s">
        <v>1</v>
      </c>
      <c r="CQ167" s="4" t="s">
        <v>1</v>
      </c>
      <c r="CR167" s="4" t="s">
        <v>1</v>
      </c>
      <c r="CS167" s="4" t="s">
        <v>1</v>
      </c>
      <c r="CT167" s="4" t="s">
        <v>1</v>
      </c>
      <c r="CU167" s="4" t="s">
        <v>1</v>
      </c>
      <c r="CV167" t="s">
        <v>1068</v>
      </c>
      <c r="CW167">
        <v>100</v>
      </c>
      <c r="CX167">
        <v>0</v>
      </c>
      <c r="CY167">
        <v>20</v>
      </c>
      <c r="CZ167" s="26" t="s">
        <v>1358</v>
      </c>
      <c r="DA167" t="s">
        <v>734</v>
      </c>
      <c r="DB167">
        <v>8.3000000000000007</v>
      </c>
      <c r="DC167">
        <v>0</v>
      </c>
      <c r="DD167">
        <v>20</v>
      </c>
      <c r="DE167" s="26" t="s">
        <v>1358</v>
      </c>
      <c r="DF167" t="s">
        <v>735</v>
      </c>
      <c r="DG167">
        <v>76.400000000000006</v>
      </c>
      <c r="DH167">
        <v>0</v>
      </c>
      <c r="DI167">
        <v>20</v>
      </c>
      <c r="DJ167" s="26" t="s">
        <v>1358</v>
      </c>
      <c r="DK167" t="s">
        <v>736</v>
      </c>
      <c r="DL167">
        <v>15.3</v>
      </c>
      <c r="DM167">
        <v>0</v>
      </c>
      <c r="DN167">
        <v>20</v>
      </c>
      <c r="DO167" s="26" t="s">
        <v>1358</v>
      </c>
      <c r="DP167" t="s">
        <v>6</v>
      </c>
      <c r="DQ167" t="s">
        <v>813</v>
      </c>
      <c r="DR167">
        <v>5.6</v>
      </c>
      <c r="DS167">
        <v>0</v>
      </c>
      <c r="DT167">
        <v>20</v>
      </c>
      <c r="DU167" s="26" t="s">
        <v>1358</v>
      </c>
      <c r="EA167" t="s">
        <v>982</v>
      </c>
      <c r="EB167">
        <v>14.399999999999999</v>
      </c>
      <c r="EC167">
        <v>0</v>
      </c>
      <c r="ED167">
        <v>20</v>
      </c>
      <c r="EE167" s="26" t="s">
        <v>1358</v>
      </c>
      <c r="EF167" s="26"/>
      <c r="FZ167" t="s">
        <v>806</v>
      </c>
      <c r="GA167">
        <v>473.25</v>
      </c>
      <c r="GE167" s="26" t="s">
        <v>1358</v>
      </c>
      <c r="HA167" s="5" t="s">
        <v>1</v>
      </c>
      <c r="HB167" s="4" t="s">
        <v>1</v>
      </c>
      <c r="HC167" t="s">
        <v>1</v>
      </c>
      <c r="HD167" t="s">
        <v>1</v>
      </c>
      <c r="HE167" t="s">
        <v>1</v>
      </c>
      <c r="HF167" s="5" t="s">
        <v>1063</v>
      </c>
      <c r="HG167" s="4">
        <v>1.04</v>
      </c>
      <c r="HH167">
        <v>0</v>
      </c>
      <c r="HI167">
        <v>20</v>
      </c>
      <c r="HJ167" s="26" t="s">
        <v>1358</v>
      </c>
      <c r="HK167" t="s">
        <v>815</v>
      </c>
      <c r="HL167">
        <v>1.6</v>
      </c>
      <c r="HM167">
        <v>0</v>
      </c>
      <c r="HN167">
        <v>20</v>
      </c>
      <c r="HO167" t="s">
        <v>1</v>
      </c>
      <c r="HP167" s="26" t="s">
        <v>1358</v>
      </c>
      <c r="HZ167" t="s">
        <v>1</v>
      </c>
      <c r="IA167" t="s">
        <v>1</v>
      </c>
      <c r="IB167" s="10" t="s">
        <v>1</v>
      </c>
      <c r="IC167" s="10"/>
      <c r="ID167" s="10"/>
      <c r="IE167" s="10" t="s">
        <v>1</v>
      </c>
      <c r="IF167" s="10" t="s">
        <v>1</v>
      </c>
      <c r="IG167" s="10"/>
      <c r="IH167" s="10"/>
      <c r="II167" s="10"/>
      <c r="IJ167" s="10"/>
      <c r="IK167" s="10"/>
      <c r="IL167" s="10"/>
      <c r="IM167" s="10"/>
      <c r="IN167" s="10"/>
      <c r="IO167" s="10"/>
      <c r="IP167" s="10"/>
      <c r="IQ167" s="10"/>
      <c r="IR167" s="10"/>
      <c r="IS167" t="s">
        <v>978</v>
      </c>
      <c r="IT167">
        <v>234</v>
      </c>
      <c r="IW167" t="s">
        <v>1</v>
      </c>
      <c r="IX167" t="s">
        <v>1</v>
      </c>
      <c r="IY167" t="s">
        <v>808</v>
      </c>
      <c r="IZ167">
        <v>2866.5</v>
      </c>
      <c r="JA167" t="s">
        <v>1</v>
      </c>
      <c r="JB167" s="3" t="s">
        <v>1</v>
      </c>
      <c r="JC167" t="s">
        <v>1</v>
      </c>
      <c r="JD167" s="4" t="s">
        <v>1</v>
      </c>
      <c r="JE167" t="s">
        <v>1</v>
      </c>
      <c r="JF167" t="s">
        <v>1</v>
      </c>
      <c r="JR167" t="s">
        <v>1066</v>
      </c>
      <c r="JS167">
        <v>203.4</v>
      </c>
      <c r="JU167" t="s">
        <v>1</v>
      </c>
      <c r="JW167" t="s">
        <v>1</v>
      </c>
      <c r="JX167">
        <v>0</v>
      </c>
      <c r="JY167">
        <v>50</v>
      </c>
      <c r="JZ167" t="s">
        <v>796</v>
      </c>
      <c r="KA167" t="s">
        <v>198</v>
      </c>
      <c r="KB167" t="s">
        <v>738</v>
      </c>
      <c r="KC167" t="s">
        <v>1067</v>
      </c>
      <c r="KD167" s="1">
        <v>1.4699500000000034</v>
      </c>
      <c r="KE167" s="11" t="s">
        <v>1</v>
      </c>
      <c r="KF167" s="11" t="s">
        <v>1</v>
      </c>
      <c r="KG167">
        <v>0</v>
      </c>
      <c r="KH167">
        <v>50</v>
      </c>
      <c r="KI167" t="s">
        <v>796</v>
      </c>
      <c r="KJ167" t="s">
        <v>198</v>
      </c>
      <c r="KK167" t="s">
        <v>738</v>
      </c>
    </row>
    <row r="168" spans="1:297" x14ac:dyDescent="0.2">
      <c r="A168">
        <v>167</v>
      </c>
      <c r="B168" t="s">
        <v>705</v>
      </c>
      <c r="C168" t="s">
        <v>199</v>
      </c>
      <c r="D168" t="s">
        <v>194</v>
      </c>
      <c r="E168">
        <v>27</v>
      </c>
      <c r="F168" t="s">
        <v>195</v>
      </c>
      <c r="G168" t="s">
        <v>1</v>
      </c>
      <c r="H168" s="26" t="s">
        <v>1420</v>
      </c>
      <c r="I168" t="s">
        <v>1</v>
      </c>
      <c r="J168" t="s">
        <v>1</v>
      </c>
      <c r="K168" t="s">
        <v>1</v>
      </c>
      <c r="L168" t="s">
        <v>1</v>
      </c>
      <c r="M168" t="s">
        <v>1</v>
      </c>
      <c r="N168" t="s">
        <v>1</v>
      </c>
      <c r="O168" t="s">
        <v>1</v>
      </c>
      <c r="P168" t="s">
        <v>1</v>
      </c>
      <c r="Q168" t="s">
        <v>1</v>
      </c>
      <c r="R168" t="s">
        <v>1</v>
      </c>
      <c r="S168" t="s">
        <v>1</v>
      </c>
      <c r="T168" t="s">
        <v>1</v>
      </c>
      <c r="U168" t="s">
        <v>1</v>
      </c>
      <c r="V168" t="s">
        <v>1</v>
      </c>
      <c r="W168" t="s">
        <v>1</v>
      </c>
      <c r="X168" t="s">
        <v>1</v>
      </c>
      <c r="Y168" t="s">
        <v>1</v>
      </c>
      <c r="Z168" t="s">
        <v>1</v>
      </c>
      <c r="AA168" t="s">
        <v>1</v>
      </c>
      <c r="AB168" t="s">
        <v>1</v>
      </c>
      <c r="AC168" t="s">
        <v>1</v>
      </c>
      <c r="AD168" t="s">
        <v>1</v>
      </c>
      <c r="AE168" t="s">
        <v>1</v>
      </c>
      <c r="AF168" t="s">
        <v>1</v>
      </c>
      <c r="AG168" t="s">
        <v>1</v>
      </c>
      <c r="AH168" t="s">
        <v>1</v>
      </c>
      <c r="AI168" t="s">
        <v>1</v>
      </c>
      <c r="AJ168" t="s">
        <v>1</v>
      </c>
      <c r="AK168" t="s">
        <v>1</v>
      </c>
      <c r="AL168" t="s">
        <v>1</v>
      </c>
      <c r="AM168" t="s">
        <v>1</v>
      </c>
      <c r="AN168">
        <v>167</v>
      </c>
      <c r="AO168">
        <f t="shared" si="12"/>
        <v>167</v>
      </c>
      <c r="AP168">
        <f t="shared" si="10"/>
        <v>27</v>
      </c>
      <c r="AQ168">
        <f t="shared" si="11"/>
        <v>27</v>
      </c>
      <c r="AR168" s="26" t="s">
        <v>1355</v>
      </c>
      <c r="AS168" s="26" t="s">
        <v>1356</v>
      </c>
      <c r="AT168" t="s">
        <v>710</v>
      </c>
      <c r="AU168" t="s">
        <v>1</v>
      </c>
      <c r="AV168" t="s">
        <v>1</v>
      </c>
      <c r="AW168">
        <v>31.23</v>
      </c>
      <c r="AX168">
        <v>119.88</v>
      </c>
      <c r="AY168" t="s">
        <v>737</v>
      </c>
      <c r="BA168" s="3">
        <v>4</v>
      </c>
      <c r="BB168" s="3"/>
      <c r="BC168" s="3"/>
      <c r="BD168" s="3"/>
      <c r="BE168" s="3"/>
      <c r="BF168">
        <v>2010</v>
      </c>
      <c r="BG168" s="24" t="s">
        <v>733</v>
      </c>
      <c r="BH168" s="24" t="s">
        <v>733</v>
      </c>
      <c r="BI168" s="24" t="s">
        <v>733</v>
      </c>
      <c r="BJ168" s="24" t="s">
        <v>732</v>
      </c>
      <c r="BK168" s="24" t="s">
        <v>733</v>
      </c>
      <c r="BL168" s="25" t="s">
        <v>733</v>
      </c>
      <c r="BM168" s="24" t="s">
        <v>733</v>
      </c>
      <c r="BN168" s="24" t="s">
        <v>732</v>
      </c>
      <c r="BO168" s="24" t="s">
        <v>733</v>
      </c>
      <c r="BP168" s="24" t="s">
        <v>733</v>
      </c>
      <c r="BQ168" s="24" t="s">
        <v>945</v>
      </c>
      <c r="BR168" s="24" t="s">
        <v>945</v>
      </c>
      <c r="BS168" s="25" t="s">
        <v>934</v>
      </c>
      <c r="BT168" s="24" t="s">
        <v>934</v>
      </c>
      <c r="BU168" s="24" t="s">
        <v>934</v>
      </c>
      <c r="BV168" s="24" t="s">
        <v>934</v>
      </c>
      <c r="BW168" s="24" t="s">
        <v>934</v>
      </c>
      <c r="BX168" s="24" t="s">
        <v>934</v>
      </c>
      <c r="BY168" s="25" t="s">
        <v>945</v>
      </c>
      <c r="BZ168" t="s">
        <v>788</v>
      </c>
      <c r="CB168" t="s">
        <v>197</v>
      </c>
      <c r="CC168" s="4">
        <f>AVERAGE(57.8,56.1,46,51.6)*1000*0.073+AVERAGE(24.1,21.1,22.9,17.5)*1000*0.1+AVERAGE(74.5,53,55.5,58.4)*1000*0.1</f>
        <v>12034.875</v>
      </c>
      <c r="CD168" s="4"/>
      <c r="CE168" s="4"/>
      <c r="CF168" t="s">
        <v>793</v>
      </c>
      <c r="CG168">
        <v>100</v>
      </c>
      <c r="CH168" t="s">
        <v>805</v>
      </c>
      <c r="CI168" s="1">
        <v>1</v>
      </c>
      <c r="CJ168" s="10" t="s">
        <v>1445</v>
      </c>
      <c r="CK168" s="9" t="s">
        <v>1</v>
      </c>
      <c r="CL168" s="4" t="s">
        <v>1</v>
      </c>
      <c r="CM168" t="s">
        <v>847</v>
      </c>
      <c r="CN168" s="4">
        <f>AVERAGE(170.3,146.6,151.5,153.6)</f>
        <v>155.5</v>
      </c>
      <c r="CO168" s="21"/>
      <c r="CP168" s="4" t="s">
        <v>1</v>
      </c>
      <c r="CQ168" s="4" t="s">
        <v>1</v>
      </c>
      <c r="CR168" s="4" t="s">
        <v>1</v>
      </c>
      <c r="CS168" s="4" t="s">
        <v>1</v>
      </c>
      <c r="CT168" s="4" t="s">
        <v>1</v>
      </c>
      <c r="CU168" s="4" t="s">
        <v>1</v>
      </c>
      <c r="CV168" t="s">
        <v>1068</v>
      </c>
      <c r="CW168">
        <v>100</v>
      </c>
      <c r="CX168">
        <v>0</v>
      </c>
      <c r="CY168">
        <v>20</v>
      </c>
      <c r="CZ168" s="26" t="s">
        <v>1358</v>
      </c>
      <c r="DA168" t="s">
        <v>734</v>
      </c>
      <c r="DB168">
        <v>8.3000000000000007</v>
      </c>
      <c r="DC168">
        <v>0</v>
      </c>
      <c r="DD168">
        <v>20</v>
      </c>
      <c r="DE168" s="26" t="s">
        <v>1358</v>
      </c>
      <c r="DF168" t="s">
        <v>735</v>
      </c>
      <c r="DG168">
        <v>76.400000000000006</v>
      </c>
      <c r="DH168">
        <v>0</v>
      </c>
      <c r="DI168">
        <v>20</v>
      </c>
      <c r="DJ168" s="26" t="s">
        <v>1358</v>
      </c>
      <c r="DK168" t="s">
        <v>736</v>
      </c>
      <c r="DL168">
        <v>15.3</v>
      </c>
      <c r="DM168">
        <v>0</v>
      </c>
      <c r="DN168">
        <v>20</v>
      </c>
      <c r="DO168" s="26" t="s">
        <v>1358</v>
      </c>
      <c r="DP168" t="s">
        <v>6</v>
      </c>
      <c r="DQ168" t="s">
        <v>813</v>
      </c>
      <c r="DR168">
        <v>5.6</v>
      </c>
      <c r="DS168">
        <v>0</v>
      </c>
      <c r="DT168">
        <v>20</v>
      </c>
      <c r="DU168" s="26" t="s">
        <v>1358</v>
      </c>
      <c r="EA168" t="s">
        <v>982</v>
      </c>
      <c r="EB168">
        <v>14.399999999999999</v>
      </c>
      <c r="EC168">
        <v>0</v>
      </c>
      <c r="ED168">
        <v>20</v>
      </c>
      <c r="EE168" s="26" t="s">
        <v>1358</v>
      </c>
      <c r="EF168" s="26"/>
      <c r="FZ168" t="s">
        <v>806</v>
      </c>
      <c r="GA168">
        <v>473.25</v>
      </c>
      <c r="GE168" s="26" t="s">
        <v>1358</v>
      </c>
      <c r="HA168" s="5" t="s">
        <v>1</v>
      </c>
      <c r="HB168" s="4" t="s">
        <v>1</v>
      </c>
      <c r="HC168" t="s">
        <v>1</v>
      </c>
      <c r="HD168" t="s">
        <v>1</v>
      </c>
      <c r="HE168" t="s">
        <v>1</v>
      </c>
      <c r="HF168" s="5" t="s">
        <v>1063</v>
      </c>
      <c r="HG168" s="4">
        <v>1.04</v>
      </c>
      <c r="HH168">
        <v>0</v>
      </c>
      <c r="HI168">
        <v>20</v>
      </c>
      <c r="HJ168" s="26" t="s">
        <v>1358</v>
      </c>
      <c r="HK168" t="s">
        <v>815</v>
      </c>
      <c r="HL168">
        <v>1.6</v>
      </c>
      <c r="HM168">
        <v>0</v>
      </c>
      <c r="HN168">
        <v>20</v>
      </c>
      <c r="HO168" t="s">
        <v>1</v>
      </c>
      <c r="HP168" s="26" t="s">
        <v>1358</v>
      </c>
      <c r="HZ168" t="s">
        <v>969</v>
      </c>
      <c r="IA168">
        <v>348</v>
      </c>
      <c r="IB168" s="10" t="s">
        <v>1</v>
      </c>
      <c r="IC168" s="10"/>
      <c r="ID168" s="10"/>
      <c r="IE168" s="10" t="s">
        <v>1</v>
      </c>
      <c r="IF168" s="10" t="s">
        <v>1</v>
      </c>
      <c r="IG168" s="10"/>
      <c r="IH168" s="10"/>
      <c r="II168" s="10"/>
      <c r="IJ168" s="10"/>
      <c r="IK168" s="10"/>
      <c r="IL168" s="10"/>
      <c r="IM168" s="10"/>
      <c r="IN168" s="10"/>
      <c r="IO168" s="10"/>
      <c r="IP168" s="10"/>
      <c r="IQ168" s="10"/>
      <c r="IR168" s="10"/>
      <c r="IS168" t="s">
        <v>978</v>
      </c>
      <c r="IT168">
        <v>234</v>
      </c>
      <c r="IW168" t="s">
        <v>1</v>
      </c>
      <c r="IX168" t="s">
        <v>1</v>
      </c>
      <c r="IY168" t="s">
        <v>808</v>
      </c>
      <c r="IZ168">
        <v>2866.5</v>
      </c>
      <c r="JA168" t="s">
        <v>1</v>
      </c>
      <c r="JB168" s="3" t="s">
        <v>1</v>
      </c>
      <c r="JC168" t="s">
        <v>1</v>
      </c>
      <c r="JD168" s="4" t="s">
        <v>1</v>
      </c>
      <c r="JE168" t="s">
        <v>1</v>
      </c>
      <c r="JF168" t="s">
        <v>1</v>
      </c>
      <c r="JR168" t="s">
        <v>1066</v>
      </c>
      <c r="JS168">
        <v>419.6</v>
      </c>
      <c r="JU168" t="s">
        <v>1</v>
      </c>
      <c r="JW168" t="s">
        <v>1</v>
      </c>
      <c r="JX168">
        <v>0</v>
      </c>
      <c r="JY168">
        <v>50</v>
      </c>
      <c r="JZ168" t="s">
        <v>796</v>
      </c>
      <c r="KA168" t="s">
        <v>198</v>
      </c>
      <c r="KB168" t="s">
        <v>738</v>
      </c>
      <c r="KC168" t="s">
        <v>1067</v>
      </c>
      <c r="KD168" s="1">
        <v>2.45045</v>
      </c>
      <c r="KE168" s="11" t="s">
        <v>1</v>
      </c>
      <c r="KF168" s="11" t="s">
        <v>1</v>
      </c>
      <c r="KG168">
        <v>0</v>
      </c>
      <c r="KH168">
        <v>50</v>
      </c>
      <c r="KI168" t="s">
        <v>796</v>
      </c>
      <c r="KJ168" t="s">
        <v>198</v>
      </c>
      <c r="KK168" t="s">
        <v>738</v>
      </c>
    </row>
    <row r="169" spans="1:297" x14ac:dyDescent="0.2">
      <c r="A169">
        <v>168</v>
      </c>
      <c r="B169" t="s">
        <v>705</v>
      </c>
      <c r="C169" t="s">
        <v>200</v>
      </c>
      <c r="D169" t="s">
        <v>194</v>
      </c>
      <c r="E169">
        <v>27</v>
      </c>
      <c r="F169" t="s">
        <v>195</v>
      </c>
      <c r="G169" t="s">
        <v>1</v>
      </c>
      <c r="H169" s="26" t="s">
        <v>1420</v>
      </c>
      <c r="I169" t="s">
        <v>1</v>
      </c>
      <c r="J169" t="s">
        <v>1</v>
      </c>
      <c r="K169" t="s">
        <v>1</v>
      </c>
      <c r="L169" t="s">
        <v>1</v>
      </c>
      <c r="M169" t="s">
        <v>1</v>
      </c>
      <c r="N169" t="s">
        <v>1</v>
      </c>
      <c r="O169" t="s">
        <v>1</v>
      </c>
      <c r="P169" t="s">
        <v>1</v>
      </c>
      <c r="Q169" t="s">
        <v>1</v>
      </c>
      <c r="R169" t="s">
        <v>1</v>
      </c>
      <c r="S169" t="s">
        <v>1</v>
      </c>
      <c r="T169" t="s">
        <v>1</v>
      </c>
      <c r="U169" t="s">
        <v>1</v>
      </c>
      <c r="V169" t="s">
        <v>1</v>
      </c>
      <c r="W169" t="s">
        <v>1</v>
      </c>
      <c r="X169" t="s">
        <v>1</v>
      </c>
      <c r="Y169" t="s">
        <v>1</v>
      </c>
      <c r="Z169" t="s">
        <v>1</v>
      </c>
      <c r="AA169" t="s">
        <v>1</v>
      </c>
      <c r="AB169" t="s">
        <v>1</v>
      </c>
      <c r="AC169" t="s">
        <v>1</v>
      </c>
      <c r="AD169" t="s">
        <v>1</v>
      </c>
      <c r="AE169" t="s">
        <v>1</v>
      </c>
      <c r="AF169" t="s">
        <v>1</v>
      </c>
      <c r="AG169" t="s">
        <v>1</v>
      </c>
      <c r="AH169" t="s">
        <v>1</v>
      </c>
      <c r="AI169" t="s">
        <v>1</v>
      </c>
      <c r="AJ169" t="s">
        <v>1</v>
      </c>
      <c r="AK169" t="s">
        <v>1</v>
      </c>
      <c r="AL169" t="s">
        <v>1</v>
      </c>
      <c r="AM169" t="s">
        <v>1</v>
      </c>
      <c r="AN169">
        <v>168</v>
      </c>
      <c r="AO169">
        <f t="shared" si="12"/>
        <v>168</v>
      </c>
      <c r="AP169">
        <f t="shared" si="10"/>
        <v>27</v>
      </c>
      <c r="AQ169">
        <f t="shared" si="11"/>
        <v>27</v>
      </c>
      <c r="AR169" s="26" t="s">
        <v>1355</v>
      </c>
      <c r="AS169" s="26" t="s">
        <v>1356</v>
      </c>
      <c r="AT169" t="s">
        <v>710</v>
      </c>
      <c r="AU169" t="s">
        <v>1</v>
      </c>
      <c r="AV169" t="s">
        <v>1</v>
      </c>
      <c r="AW169">
        <v>31.23</v>
      </c>
      <c r="AX169">
        <v>119.88</v>
      </c>
      <c r="AY169" t="s">
        <v>737</v>
      </c>
      <c r="BA169" s="3">
        <v>4</v>
      </c>
      <c r="BB169" s="3"/>
      <c r="BC169" s="3"/>
      <c r="BD169" s="3"/>
      <c r="BE169" s="3"/>
      <c r="BF169">
        <v>2010</v>
      </c>
      <c r="BG169" s="24" t="s">
        <v>733</v>
      </c>
      <c r="BH169" s="24" t="s">
        <v>733</v>
      </c>
      <c r="BI169" s="24" t="s">
        <v>733</v>
      </c>
      <c r="BJ169" s="24" t="s">
        <v>732</v>
      </c>
      <c r="BK169" s="24" t="s">
        <v>733</v>
      </c>
      <c r="BL169" s="25" t="s">
        <v>733</v>
      </c>
      <c r="BM169" s="24" t="s">
        <v>733</v>
      </c>
      <c r="BN169" s="24" t="s">
        <v>732</v>
      </c>
      <c r="BO169" s="24" t="s">
        <v>733</v>
      </c>
      <c r="BP169" s="24" t="s">
        <v>733</v>
      </c>
      <c r="BQ169" s="24" t="s">
        <v>945</v>
      </c>
      <c r="BR169" s="24" t="s">
        <v>945</v>
      </c>
      <c r="BS169" s="25" t="s">
        <v>934</v>
      </c>
      <c r="BT169" s="24" t="s">
        <v>934</v>
      </c>
      <c r="BU169" s="24" t="s">
        <v>934</v>
      </c>
      <c r="BV169" s="24" t="s">
        <v>934</v>
      </c>
      <c r="BW169" s="24" t="s">
        <v>934</v>
      </c>
      <c r="BX169" s="24" t="s">
        <v>934</v>
      </c>
      <c r="BY169" s="25" t="s">
        <v>945</v>
      </c>
      <c r="BZ169" t="s">
        <v>788</v>
      </c>
      <c r="CB169" t="s">
        <v>197</v>
      </c>
      <c r="CC169" s="4">
        <f>AVERAGE(85.1,73,76.3,66.2)*1000*0.073+AVERAGE(33.4,33.9,33.3,25.2)*1000*0.1+AVERAGE(86.3,72.5,70,64.2)*1000*0.1</f>
        <v>15955.949999999999</v>
      </c>
      <c r="CD169" s="4"/>
      <c r="CE169" s="4"/>
      <c r="CF169" t="s">
        <v>793</v>
      </c>
      <c r="CG169">
        <v>100</v>
      </c>
      <c r="CH169" t="s">
        <v>805</v>
      </c>
      <c r="CI169" s="1">
        <v>1</v>
      </c>
      <c r="CJ169" s="10" t="s">
        <v>1445</v>
      </c>
      <c r="CK169" s="9" t="s">
        <v>1</v>
      </c>
      <c r="CL169" s="4" t="s">
        <v>1</v>
      </c>
      <c r="CM169" t="s">
        <v>847</v>
      </c>
      <c r="CN169" s="4">
        <f>AVERAGE(234.3,213.2,215.6,201.7)</f>
        <v>216.2</v>
      </c>
      <c r="CO169" s="21"/>
      <c r="CP169" s="4" t="s">
        <v>1</v>
      </c>
      <c r="CQ169" s="4" t="s">
        <v>1</v>
      </c>
      <c r="CR169" s="4" t="s">
        <v>1</v>
      </c>
      <c r="CS169" s="4" t="s">
        <v>1</v>
      </c>
      <c r="CT169" s="4" t="s">
        <v>1</v>
      </c>
      <c r="CU169" s="4" t="s">
        <v>1</v>
      </c>
      <c r="CV169" t="s">
        <v>1068</v>
      </c>
      <c r="CW169">
        <v>100</v>
      </c>
      <c r="CX169">
        <v>0</v>
      </c>
      <c r="CY169">
        <v>20</v>
      </c>
      <c r="CZ169" s="26" t="s">
        <v>1358</v>
      </c>
      <c r="DA169" t="s">
        <v>734</v>
      </c>
      <c r="DB169">
        <v>8.3000000000000007</v>
      </c>
      <c r="DC169">
        <v>0</v>
      </c>
      <c r="DD169">
        <v>20</v>
      </c>
      <c r="DE169" s="26" t="s">
        <v>1358</v>
      </c>
      <c r="DF169" t="s">
        <v>735</v>
      </c>
      <c r="DG169">
        <v>76.400000000000006</v>
      </c>
      <c r="DH169">
        <v>0</v>
      </c>
      <c r="DI169">
        <v>20</v>
      </c>
      <c r="DJ169" s="26" t="s">
        <v>1358</v>
      </c>
      <c r="DK169" t="s">
        <v>736</v>
      </c>
      <c r="DL169">
        <v>15.3</v>
      </c>
      <c r="DM169">
        <v>0</v>
      </c>
      <c r="DN169">
        <v>20</v>
      </c>
      <c r="DO169" s="26" t="s">
        <v>1358</v>
      </c>
      <c r="DP169" t="s">
        <v>6</v>
      </c>
      <c r="DQ169" t="s">
        <v>813</v>
      </c>
      <c r="DR169">
        <v>5.6</v>
      </c>
      <c r="DS169">
        <v>0</v>
      </c>
      <c r="DT169">
        <v>20</v>
      </c>
      <c r="DU169" s="26" t="s">
        <v>1358</v>
      </c>
      <c r="EA169" t="s">
        <v>982</v>
      </c>
      <c r="EB169">
        <v>14.399999999999999</v>
      </c>
      <c r="EC169">
        <v>0</v>
      </c>
      <c r="ED169">
        <v>20</v>
      </c>
      <c r="EE169" s="26" t="s">
        <v>1358</v>
      </c>
      <c r="EF169" s="26"/>
      <c r="FZ169" t="s">
        <v>806</v>
      </c>
      <c r="GA169">
        <v>473.25</v>
      </c>
      <c r="GE169" s="26" t="s">
        <v>1358</v>
      </c>
      <c r="HA169" s="5" t="s">
        <v>1</v>
      </c>
      <c r="HB169" s="4" t="s">
        <v>1</v>
      </c>
      <c r="HC169" t="s">
        <v>1</v>
      </c>
      <c r="HD169" t="s">
        <v>1</v>
      </c>
      <c r="HE169" t="s">
        <v>1</v>
      </c>
      <c r="HF169" s="5" t="s">
        <v>1063</v>
      </c>
      <c r="HG169" s="4">
        <v>1.04</v>
      </c>
      <c r="HH169">
        <v>0</v>
      </c>
      <c r="HI169">
        <v>20</v>
      </c>
      <c r="HJ169" s="26" t="s">
        <v>1358</v>
      </c>
      <c r="HK169" t="s">
        <v>815</v>
      </c>
      <c r="HL169">
        <v>1.6</v>
      </c>
      <c r="HM169">
        <v>0</v>
      </c>
      <c r="HN169">
        <v>20</v>
      </c>
      <c r="HO169" t="s">
        <v>1</v>
      </c>
      <c r="HP169" s="26" t="s">
        <v>1358</v>
      </c>
      <c r="HZ169" t="s">
        <v>969</v>
      </c>
      <c r="IA169">
        <v>522</v>
      </c>
      <c r="IB169" s="10" t="s">
        <v>1</v>
      </c>
      <c r="IC169" s="10"/>
      <c r="ID169" s="10"/>
      <c r="IE169" s="10" t="s">
        <v>1</v>
      </c>
      <c r="IF169" s="10" t="s">
        <v>1</v>
      </c>
      <c r="IG169" s="10"/>
      <c r="IH169" s="10"/>
      <c r="II169" s="10"/>
      <c r="IJ169" s="10"/>
      <c r="IK169" s="10"/>
      <c r="IL169" s="10"/>
      <c r="IM169" s="10"/>
      <c r="IN169" s="10"/>
      <c r="IO169" s="10"/>
      <c r="IP169" s="10"/>
      <c r="IQ169" s="10"/>
      <c r="IR169" s="10"/>
      <c r="IS169" t="s">
        <v>978</v>
      </c>
      <c r="IT169">
        <v>234</v>
      </c>
      <c r="IW169" t="s">
        <v>1</v>
      </c>
      <c r="IX169" t="s">
        <v>1</v>
      </c>
      <c r="IY169" t="s">
        <v>808</v>
      </c>
      <c r="IZ169">
        <v>2866.5</v>
      </c>
      <c r="JA169" t="s">
        <v>1</v>
      </c>
      <c r="JB169" s="3" t="s">
        <v>1</v>
      </c>
      <c r="JC169" t="s">
        <v>1</v>
      </c>
      <c r="JD169" s="4" t="s">
        <v>1</v>
      </c>
      <c r="JE169" t="s">
        <v>1</v>
      </c>
      <c r="JF169" t="s">
        <v>1</v>
      </c>
      <c r="JR169" t="s">
        <v>1066</v>
      </c>
      <c r="JS169">
        <v>531.70000000000005</v>
      </c>
      <c r="JU169" t="s">
        <v>1</v>
      </c>
      <c r="JW169" t="s">
        <v>1</v>
      </c>
      <c r="JX169">
        <v>0</v>
      </c>
      <c r="JY169">
        <v>50</v>
      </c>
      <c r="JZ169" t="s">
        <v>796</v>
      </c>
      <c r="KA169" t="s">
        <v>198</v>
      </c>
      <c r="KB169" t="s">
        <v>738</v>
      </c>
      <c r="KC169" t="s">
        <v>1067</v>
      </c>
      <c r="KD169" s="1">
        <v>2.2640500000000081</v>
      </c>
      <c r="KE169" s="11" t="s">
        <v>1</v>
      </c>
      <c r="KF169" s="11" t="s">
        <v>1</v>
      </c>
      <c r="KG169">
        <v>0</v>
      </c>
      <c r="KH169">
        <v>50</v>
      </c>
      <c r="KI169" t="s">
        <v>796</v>
      </c>
      <c r="KJ169" t="s">
        <v>198</v>
      </c>
      <c r="KK169" t="s">
        <v>738</v>
      </c>
    </row>
    <row r="170" spans="1:297" x14ac:dyDescent="0.2">
      <c r="A170">
        <v>169</v>
      </c>
      <c r="B170" t="s">
        <v>705</v>
      </c>
      <c r="C170" t="s">
        <v>201</v>
      </c>
      <c r="D170" t="s">
        <v>194</v>
      </c>
      <c r="E170">
        <v>27</v>
      </c>
      <c r="F170" t="s">
        <v>195</v>
      </c>
      <c r="G170" t="s">
        <v>1</v>
      </c>
      <c r="H170" s="26" t="s">
        <v>1420</v>
      </c>
      <c r="I170" t="s">
        <v>1</v>
      </c>
      <c r="J170" t="s">
        <v>1</v>
      </c>
      <c r="K170" t="s">
        <v>1</v>
      </c>
      <c r="L170" t="s">
        <v>1</v>
      </c>
      <c r="M170" t="s">
        <v>1</v>
      </c>
      <c r="N170" t="s">
        <v>1</v>
      </c>
      <c r="O170" t="s">
        <v>1</v>
      </c>
      <c r="P170" t="s">
        <v>1</v>
      </c>
      <c r="Q170" t="s">
        <v>1</v>
      </c>
      <c r="R170" t="s">
        <v>1</v>
      </c>
      <c r="S170" t="s">
        <v>1</v>
      </c>
      <c r="T170" t="s">
        <v>1</v>
      </c>
      <c r="U170" t="s">
        <v>1</v>
      </c>
      <c r="V170" t="s">
        <v>1</v>
      </c>
      <c r="W170" t="s">
        <v>1</v>
      </c>
      <c r="X170" t="s">
        <v>1</v>
      </c>
      <c r="Y170" t="s">
        <v>1</v>
      </c>
      <c r="Z170" t="s">
        <v>1</v>
      </c>
      <c r="AA170" t="s">
        <v>1</v>
      </c>
      <c r="AB170" t="s">
        <v>1</v>
      </c>
      <c r="AC170" t="s">
        <v>1</v>
      </c>
      <c r="AD170" t="s">
        <v>1</v>
      </c>
      <c r="AE170" t="s">
        <v>1</v>
      </c>
      <c r="AF170" t="s">
        <v>1</v>
      </c>
      <c r="AG170" t="s">
        <v>1</v>
      </c>
      <c r="AH170" t="s">
        <v>1</v>
      </c>
      <c r="AI170" t="s">
        <v>1</v>
      </c>
      <c r="AJ170" t="s">
        <v>1</v>
      </c>
      <c r="AK170" t="s">
        <v>1</v>
      </c>
      <c r="AL170" t="s">
        <v>1</v>
      </c>
      <c r="AM170" t="s">
        <v>1</v>
      </c>
      <c r="AN170">
        <v>169</v>
      </c>
      <c r="AO170">
        <f t="shared" si="12"/>
        <v>169</v>
      </c>
      <c r="AP170">
        <f t="shared" si="10"/>
        <v>27</v>
      </c>
      <c r="AQ170">
        <f t="shared" si="11"/>
        <v>27</v>
      </c>
      <c r="AR170" s="26" t="s">
        <v>1355</v>
      </c>
      <c r="AS170" s="26" t="s">
        <v>1356</v>
      </c>
      <c r="AT170" t="s">
        <v>710</v>
      </c>
      <c r="AU170" t="s">
        <v>1</v>
      </c>
      <c r="AV170" t="s">
        <v>1</v>
      </c>
      <c r="AW170">
        <v>31.23</v>
      </c>
      <c r="AX170">
        <v>119.88</v>
      </c>
      <c r="AY170" t="s">
        <v>737</v>
      </c>
      <c r="BA170" s="3">
        <v>4</v>
      </c>
      <c r="BB170" s="3"/>
      <c r="BC170" s="3"/>
      <c r="BD170" s="3"/>
      <c r="BE170" s="3"/>
      <c r="BF170">
        <v>2010</v>
      </c>
      <c r="BG170" s="24" t="s">
        <v>733</v>
      </c>
      <c r="BH170" s="24" t="s">
        <v>733</v>
      </c>
      <c r="BI170" s="24" t="s">
        <v>733</v>
      </c>
      <c r="BJ170" s="24" t="s">
        <v>732</v>
      </c>
      <c r="BK170" s="24" t="s">
        <v>733</v>
      </c>
      <c r="BL170" s="25" t="s">
        <v>733</v>
      </c>
      <c r="BM170" s="24" t="s">
        <v>733</v>
      </c>
      <c r="BN170" s="24" t="s">
        <v>732</v>
      </c>
      <c r="BO170" s="24" t="s">
        <v>733</v>
      </c>
      <c r="BP170" s="24" t="s">
        <v>733</v>
      </c>
      <c r="BQ170" s="24" t="s">
        <v>945</v>
      </c>
      <c r="BR170" s="24" t="s">
        <v>945</v>
      </c>
      <c r="BS170" s="25" t="s">
        <v>934</v>
      </c>
      <c r="BT170" s="24" t="s">
        <v>934</v>
      </c>
      <c r="BU170" s="24" t="s">
        <v>934</v>
      </c>
      <c r="BV170" s="24" t="s">
        <v>934</v>
      </c>
      <c r="BW170" s="24" t="s">
        <v>934</v>
      </c>
      <c r="BX170" s="24" t="s">
        <v>934</v>
      </c>
      <c r="BY170" s="25" t="s">
        <v>945</v>
      </c>
      <c r="BZ170" t="s">
        <v>788</v>
      </c>
      <c r="CB170" t="s">
        <v>197</v>
      </c>
      <c r="CC170" s="4">
        <f>AVERAGE(75.5,77,83.4,70.1)*1000*0.073+AVERAGE(32.7,32.7,34,22.6)*1000*0.1+AVERAGE(85.5,82.2,77.2,63.1)*1000*0.1</f>
        <v>16334.5</v>
      </c>
      <c r="CD170" s="4"/>
      <c r="CE170" s="4"/>
      <c r="CF170" t="s">
        <v>793</v>
      </c>
      <c r="CG170">
        <v>100</v>
      </c>
      <c r="CH170" t="s">
        <v>805</v>
      </c>
      <c r="CI170" s="1">
        <v>1</v>
      </c>
      <c r="CJ170" s="10" t="s">
        <v>1445</v>
      </c>
      <c r="CK170" s="9" t="s">
        <v>1</v>
      </c>
      <c r="CL170" s="4" t="s">
        <v>1</v>
      </c>
      <c r="CM170" t="s">
        <v>847</v>
      </c>
      <c r="CN170" s="4">
        <f>AVERAGE(220,233.6,232.4,202.7)</f>
        <v>222.17500000000001</v>
      </c>
      <c r="CO170" s="21"/>
      <c r="CP170" s="4" t="s">
        <v>1</v>
      </c>
      <c r="CQ170" s="4" t="s">
        <v>1</v>
      </c>
      <c r="CR170" s="4" t="s">
        <v>1</v>
      </c>
      <c r="CS170" s="4" t="s">
        <v>1</v>
      </c>
      <c r="CT170" s="4" t="s">
        <v>1</v>
      </c>
      <c r="CU170" s="4" t="s">
        <v>1</v>
      </c>
      <c r="CV170" t="s">
        <v>1068</v>
      </c>
      <c r="CW170">
        <v>100</v>
      </c>
      <c r="CX170">
        <v>0</v>
      </c>
      <c r="CY170">
        <v>20</v>
      </c>
      <c r="CZ170" s="26" t="s">
        <v>1358</v>
      </c>
      <c r="DA170" t="s">
        <v>734</v>
      </c>
      <c r="DB170">
        <v>8.3000000000000007</v>
      </c>
      <c r="DC170">
        <v>0</v>
      </c>
      <c r="DD170">
        <v>20</v>
      </c>
      <c r="DE170" s="26" t="s">
        <v>1358</v>
      </c>
      <c r="DF170" t="s">
        <v>735</v>
      </c>
      <c r="DG170">
        <v>76.400000000000006</v>
      </c>
      <c r="DH170">
        <v>0</v>
      </c>
      <c r="DI170">
        <v>20</v>
      </c>
      <c r="DJ170" s="26" t="s">
        <v>1358</v>
      </c>
      <c r="DK170" t="s">
        <v>736</v>
      </c>
      <c r="DL170">
        <v>15.3</v>
      </c>
      <c r="DM170">
        <v>0</v>
      </c>
      <c r="DN170">
        <v>20</v>
      </c>
      <c r="DO170" s="26" t="s">
        <v>1358</v>
      </c>
      <c r="DP170" t="s">
        <v>6</v>
      </c>
      <c r="DQ170" t="s">
        <v>813</v>
      </c>
      <c r="DR170">
        <v>5.6</v>
      </c>
      <c r="DS170">
        <v>0</v>
      </c>
      <c r="DT170">
        <v>20</v>
      </c>
      <c r="DU170" s="26" t="s">
        <v>1358</v>
      </c>
      <c r="EA170" t="s">
        <v>982</v>
      </c>
      <c r="EB170">
        <v>14.399999999999999</v>
      </c>
      <c r="EC170">
        <v>0</v>
      </c>
      <c r="ED170">
        <v>20</v>
      </c>
      <c r="EE170" s="26" t="s">
        <v>1358</v>
      </c>
      <c r="EF170" s="26"/>
      <c r="FZ170" t="s">
        <v>806</v>
      </c>
      <c r="GA170">
        <v>473.25</v>
      </c>
      <c r="GE170" s="26" t="s">
        <v>1358</v>
      </c>
      <c r="HA170" s="5" t="s">
        <v>1</v>
      </c>
      <c r="HB170" s="4" t="s">
        <v>1</v>
      </c>
      <c r="HC170" t="s">
        <v>1</v>
      </c>
      <c r="HD170" t="s">
        <v>1</v>
      </c>
      <c r="HE170" t="s">
        <v>1</v>
      </c>
      <c r="HF170" s="5" t="s">
        <v>1063</v>
      </c>
      <c r="HG170" s="4">
        <v>1.04</v>
      </c>
      <c r="HH170">
        <v>0</v>
      </c>
      <c r="HI170">
        <v>20</v>
      </c>
      <c r="HJ170" s="26" t="s">
        <v>1358</v>
      </c>
      <c r="HK170" t="s">
        <v>815</v>
      </c>
      <c r="HL170">
        <v>1.6</v>
      </c>
      <c r="HM170">
        <v>0</v>
      </c>
      <c r="HN170">
        <v>20</v>
      </c>
      <c r="HO170" t="s">
        <v>1</v>
      </c>
      <c r="HP170" s="26" t="s">
        <v>1358</v>
      </c>
      <c r="HZ170" t="s">
        <v>969</v>
      </c>
      <c r="IA170">
        <v>696</v>
      </c>
      <c r="IB170" s="10" t="s">
        <v>1</v>
      </c>
      <c r="IC170" s="10"/>
      <c r="ID170" s="10"/>
      <c r="IE170" s="10" t="s">
        <v>1</v>
      </c>
      <c r="IF170" s="10" t="s">
        <v>1</v>
      </c>
      <c r="IG170" s="10"/>
      <c r="IH170" s="10"/>
      <c r="II170" s="10"/>
      <c r="IJ170" s="10"/>
      <c r="IK170" s="10"/>
      <c r="IL170" s="10"/>
      <c r="IM170" s="10"/>
      <c r="IN170" s="10"/>
      <c r="IO170" s="10"/>
      <c r="IP170" s="10"/>
      <c r="IQ170" s="10"/>
      <c r="IR170" s="10"/>
      <c r="IS170" t="s">
        <v>978</v>
      </c>
      <c r="IT170">
        <v>234</v>
      </c>
      <c r="IW170" t="s">
        <v>1</v>
      </c>
      <c r="IX170" t="s">
        <v>1</v>
      </c>
      <c r="IY170" t="s">
        <v>808</v>
      </c>
      <c r="IZ170">
        <v>2866.5</v>
      </c>
      <c r="JA170" t="s">
        <v>1</v>
      </c>
      <c r="JB170" s="3" t="s">
        <v>1</v>
      </c>
      <c r="JC170" t="s">
        <v>1</v>
      </c>
      <c r="JD170" s="4" t="s">
        <v>1</v>
      </c>
      <c r="JE170" t="s">
        <v>1</v>
      </c>
      <c r="JF170" t="s">
        <v>1</v>
      </c>
      <c r="JR170" t="s">
        <v>1066</v>
      </c>
      <c r="JS170">
        <v>727.7</v>
      </c>
      <c r="JU170" t="s">
        <v>1</v>
      </c>
      <c r="JW170" t="s">
        <v>1</v>
      </c>
      <c r="JX170">
        <v>0</v>
      </c>
      <c r="JY170">
        <v>50</v>
      </c>
      <c r="JZ170" t="s">
        <v>796</v>
      </c>
      <c r="KA170" t="s">
        <v>198</v>
      </c>
      <c r="KB170" t="s">
        <v>738</v>
      </c>
      <c r="KC170" t="s">
        <v>1067</v>
      </c>
      <c r="KD170" s="1">
        <v>2.2141999999999982</v>
      </c>
      <c r="KE170" s="11" t="s">
        <v>1</v>
      </c>
      <c r="KF170" s="11" t="s">
        <v>1</v>
      </c>
      <c r="KG170">
        <v>0</v>
      </c>
      <c r="KH170">
        <v>50</v>
      </c>
      <c r="KI170" t="s">
        <v>796</v>
      </c>
      <c r="KJ170" t="s">
        <v>198</v>
      </c>
      <c r="KK170" t="s">
        <v>738</v>
      </c>
    </row>
    <row r="171" spans="1:297" x14ac:dyDescent="0.2">
      <c r="A171">
        <v>170</v>
      </c>
      <c r="B171" t="s">
        <v>705</v>
      </c>
      <c r="C171" t="s">
        <v>202</v>
      </c>
      <c r="D171" t="s">
        <v>194</v>
      </c>
      <c r="E171">
        <v>27</v>
      </c>
      <c r="F171" t="s">
        <v>195</v>
      </c>
      <c r="G171" t="s">
        <v>1</v>
      </c>
      <c r="H171" s="26" t="s">
        <v>1420</v>
      </c>
      <c r="I171" t="s">
        <v>1</v>
      </c>
      <c r="J171" t="s">
        <v>1</v>
      </c>
      <c r="K171" t="s">
        <v>1</v>
      </c>
      <c r="L171" t="s">
        <v>1</v>
      </c>
      <c r="M171" t="s">
        <v>1</v>
      </c>
      <c r="N171" t="s">
        <v>1</v>
      </c>
      <c r="O171" t="s">
        <v>1</v>
      </c>
      <c r="P171" t="s">
        <v>1</v>
      </c>
      <c r="Q171" t="s">
        <v>1</v>
      </c>
      <c r="R171" t="s">
        <v>1</v>
      </c>
      <c r="S171" t="s">
        <v>1</v>
      </c>
      <c r="T171" t="s">
        <v>1</v>
      </c>
      <c r="U171" t="s">
        <v>1</v>
      </c>
      <c r="V171" t="s">
        <v>1</v>
      </c>
      <c r="W171" t="s">
        <v>1</v>
      </c>
      <c r="X171" t="s">
        <v>1</v>
      </c>
      <c r="Y171" t="s">
        <v>1</v>
      </c>
      <c r="Z171" t="s">
        <v>1</v>
      </c>
      <c r="AA171" t="s">
        <v>1</v>
      </c>
      <c r="AB171" t="s">
        <v>1</v>
      </c>
      <c r="AC171" t="s">
        <v>1</v>
      </c>
      <c r="AD171" t="s">
        <v>1</v>
      </c>
      <c r="AE171" t="s">
        <v>1</v>
      </c>
      <c r="AF171" t="s">
        <v>1</v>
      </c>
      <c r="AG171" t="s">
        <v>1</v>
      </c>
      <c r="AH171" t="s">
        <v>1</v>
      </c>
      <c r="AI171" t="s">
        <v>1</v>
      </c>
      <c r="AJ171" t="s">
        <v>1</v>
      </c>
      <c r="AK171" t="s">
        <v>1</v>
      </c>
      <c r="AL171" t="s">
        <v>1</v>
      </c>
      <c r="AM171" t="s">
        <v>1</v>
      </c>
      <c r="AN171">
        <v>170</v>
      </c>
      <c r="AO171">
        <f t="shared" si="12"/>
        <v>170</v>
      </c>
      <c r="AP171">
        <f t="shared" si="10"/>
        <v>27</v>
      </c>
      <c r="AQ171">
        <f t="shared" si="11"/>
        <v>27</v>
      </c>
      <c r="AR171" s="26" t="s">
        <v>1355</v>
      </c>
      <c r="AS171" s="26" t="s">
        <v>1356</v>
      </c>
      <c r="AT171" t="s">
        <v>710</v>
      </c>
      <c r="AU171" t="s">
        <v>1</v>
      </c>
      <c r="AV171" t="s">
        <v>1</v>
      </c>
      <c r="AW171">
        <v>31.23</v>
      </c>
      <c r="AX171">
        <v>119.88</v>
      </c>
      <c r="AY171" t="s">
        <v>737</v>
      </c>
      <c r="BA171" s="3">
        <v>4</v>
      </c>
      <c r="BB171" s="3"/>
      <c r="BC171" s="3"/>
      <c r="BD171" s="3"/>
      <c r="BE171" s="3"/>
      <c r="BF171">
        <v>2010</v>
      </c>
      <c r="BG171" s="24" t="s">
        <v>733</v>
      </c>
      <c r="BH171" s="24" t="s">
        <v>733</v>
      </c>
      <c r="BI171" s="24" t="s">
        <v>733</v>
      </c>
      <c r="BJ171" s="24" t="s">
        <v>732</v>
      </c>
      <c r="BK171" s="24" t="s">
        <v>733</v>
      </c>
      <c r="BL171" s="25" t="s">
        <v>733</v>
      </c>
      <c r="BM171" s="24" t="s">
        <v>733</v>
      </c>
      <c r="BN171" s="24" t="s">
        <v>732</v>
      </c>
      <c r="BO171" s="24" t="s">
        <v>733</v>
      </c>
      <c r="BP171" s="24" t="s">
        <v>733</v>
      </c>
      <c r="BQ171" s="24" t="s">
        <v>945</v>
      </c>
      <c r="BR171" s="24" t="s">
        <v>945</v>
      </c>
      <c r="BS171" s="25" t="s">
        <v>934</v>
      </c>
      <c r="BT171" s="24" t="s">
        <v>934</v>
      </c>
      <c r="BU171" s="24" t="s">
        <v>934</v>
      </c>
      <c r="BV171" s="24" t="s">
        <v>934</v>
      </c>
      <c r="BW171" s="24" t="s">
        <v>934</v>
      </c>
      <c r="BX171" s="24" t="s">
        <v>934</v>
      </c>
      <c r="BY171" s="25" t="s">
        <v>945</v>
      </c>
      <c r="BZ171" t="s">
        <v>788</v>
      </c>
      <c r="CB171" t="s">
        <v>197</v>
      </c>
      <c r="CC171" s="4">
        <f>AVERAGE(83.7,78.1,79.2,68.8)*1000*0.073+AVERAGE(32,30.5,33.6,24.5)*1000*0.1+AVERAGE(91.4,76.1,70.3,55.4)*1000*0.1</f>
        <v>15998.849999999999</v>
      </c>
      <c r="CD171" s="4"/>
      <c r="CE171" s="4"/>
      <c r="CF171" t="s">
        <v>793</v>
      </c>
      <c r="CG171">
        <v>100</v>
      </c>
      <c r="CH171" t="s">
        <v>805</v>
      </c>
      <c r="CI171" s="1">
        <v>1</v>
      </c>
      <c r="CJ171" s="10" t="s">
        <v>1445</v>
      </c>
      <c r="CK171" s="9" t="s">
        <v>1</v>
      </c>
      <c r="CL171" s="4" t="s">
        <v>1</v>
      </c>
      <c r="CM171" t="s">
        <v>847</v>
      </c>
      <c r="CN171" s="4">
        <f>AVERAGE(243.6,220.8,214.8,185.3)</f>
        <v>216.125</v>
      </c>
      <c r="CO171" s="21"/>
      <c r="CP171" s="4" t="s">
        <v>1</v>
      </c>
      <c r="CQ171" s="4" t="s">
        <v>1</v>
      </c>
      <c r="CR171" s="4" t="s">
        <v>1</v>
      </c>
      <c r="CS171" s="4" t="s">
        <v>1</v>
      </c>
      <c r="CT171" s="4" t="s">
        <v>1</v>
      </c>
      <c r="CU171" s="4" t="s">
        <v>1</v>
      </c>
      <c r="CV171" t="s">
        <v>1068</v>
      </c>
      <c r="CW171">
        <v>100</v>
      </c>
      <c r="CX171">
        <v>0</v>
      </c>
      <c r="CY171">
        <v>20</v>
      </c>
      <c r="CZ171" s="26" t="s">
        <v>1358</v>
      </c>
      <c r="DA171" t="s">
        <v>734</v>
      </c>
      <c r="DB171">
        <v>8.3000000000000007</v>
      </c>
      <c r="DC171">
        <v>0</v>
      </c>
      <c r="DD171">
        <v>20</v>
      </c>
      <c r="DE171" s="26" t="s">
        <v>1358</v>
      </c>
      <c r="DF171" t="s">
        <v>735</v>
      </c>
      <c r="DG171">
        <v>76.400000000000006</v>
      </c>
      <c r="DH171">
        <v>0</v>
      </c>
      <c r="DI171">
        <v>20</v>
      </c>
      <c r="DJ171" s="26" t="s">
        <v>1358</v>
      </c>
      <c r="DK171" t="s">
        <v>736</v>
      </c>
      <c r="DL171">
        <v>15.3</v>
      </c>
      <c r="DM171">
        <v>0</v>
      </c>
      <c r="DN171">
        <v>20</v>
      </c>
      <c r="DO171" s="26" t="s">
        <v>1358</v>
      </c>
      <c r="DP171" t="s">
        <v>6</v>
      </c>
      <c r="DQ171" t="s">
        <v>813</v>
      </c>
      <c r="DR171">
        <v>5.6</v>
      </c>
      <c r="DS171">
        <v>0</v>
      </c>
      <c r="DT171">
        <v>20</v>
      </c>
      <c r="DU171" s="26" t="s">
        <v>1358</v>
      </c>
      <c r="EA171" t="s">
        <v>982</v>
      </c>
      <c r="EB171">
        <v>14.399999999999999</v>
      </c>
      <c r="EC171">
        <v>0</v>
      </c>
      <c r="ED171">
        <v>20</v>
      </c>
      <c r="EE171" s="26" t="s">
        <v>1358</v>
      </c>
      <c r="EF171" s="26"/>
      <c r="FZ171" t="s">
        <v>806</v>
      </c>
      <c r="GA171">
        <v>473.25</v>
      </c>
      <c r="GE171" s="26" t="s">
        <v>1358</v>
      </c>
      <c r="HA171" s="5" t="s">
        <v>1</v>
      </c>
      <c r="HB171" s="4" t="s">
        <v>1</v>
      </c>
      <c r="HC171" t="s">
        <v>1</v>
      </c>
      <c r="HD171" t="s">
        <v>1</v>
      </c>
      <c r="HE171" t="s">
        <v>1</v>
      </c>
      <c r="HF171" s="5" t="s">
        <v>1063</v>
      </c>
      <c r="HG171" s="4">
        <v>1.04</v>
      </c>
      <c r="HH171">
        <v>0</v>
      </c>
      <c r="HI171">
        <v>20</v>
      </c>
      <c r="HJ171" s="26" t="s">
        <v>1358</v>
      </c>
      <c r="HK171" t="s">
        <v>815</v>
      </c>
      <c r="HL171">
        <v>1.6</v>
      </c>
      <c r="HM171">
        <v>0</v>
      </c>
      <c r="HN171">
        <v>20</v>
      </c>
      <c r="HO171" t="s">
        <v>1</v>
      </c>
      <c r="HP171" s="26" t="s">
        <v>1358</v>
      </c>
      <c r="HZ171" t="s">
        <v>969</v>
      </c>
      <c r="IA171">
        <v>870</v>
      </c>
      <c r="IB171" s="10" t="s">
        <v>1</v>
      </c>
      <c r="IC171" s="10"/>
      <c r="ID171" s="10"/>
      <c r="IE171" s="10" t="s">
        <v>1</v>
      </c>
      <c r="IF171" s="10" t="s">
        <v>1</v>
      </c>
      <c r="IG171" s="10"/>
      <c r="IH171" s="10"/>
      <c r="II171" s="10"/>
      <c r="IJ171" s="10"/>
      <c r="IK171" s="10"/>
      <c r="IL171" s="10"/>
      <c r="IM171" s="10"/>
      <c r="IN171" s="10"/>
      <c r="IO171" s="10"/>
      <c r="IP171" s="10"/>
      <c r="IQ171" s="10"/>
      <c r="IR171" s="10"/>
      <c r="IS171" t="s">
        <v>978</v>
      </c>
      <c r="IT171">
        <v>234</v>
      </c>
      <c r="IW171" t="s">
        <v>1</v>
      </c>
      <c r="IX171" t="s">
        <v>1</v>
      </c>
      <c r="IY171" t="s">
        <v>808</v>
      </c>
      <c r="IZ171">
        <v>2866.5</v>
      </c>
      <c r="JA171" t="s">
        <v>1</v>
      </c>
      <c r="JB171" s="3" t="s">
        <v>1</v>
      </c>
      <c r="JC171" t="s">
        <v>1</v>
      </c>
      <c r="JD171" s="4" t="s">
        <v>1</v>
      </c>
      <c r="JE171" t="s">
        <v>1</v>
      </c>
      <c r="JF171" t="s">
        <v>1</v>
      </c>
      <c r="JR171" t="s">
        <v>1066</v>
      </c>
      <c r="JS171">
        <v>889</v>
      </c>
      <c r="JU171" t="s">
        <v>1</v>
      </c>
      <c r="JW171" t="s">
        <v>1</v>
      </c>
      <c r="JX171">
        <v>0</v>
      </c>
      <c r="JY171">
        <v>50</v>
      </c>
      <c r="JZ171" t="s">
        <v>796</v>
      </c>
      <c r="KA171" t="s">
        <v>198</v>
      </c>
      <c r="KB171" t="s">
        <v>738</v>
      </c>
      <c r="KC171" t="s">
        <v>1067</v>
      </c>
      <c r="KD171" s="1">
        <v>1.6457499999999996</v>
      </c>
      <c r="KE171" s="11" t="s">
        <v>1</v>
      </c>
      <c r="KF171" s="11" t="s">
        <v>1</v>
      </c>
      <c r="KG171">
        <v>0</v>
      </c>
      <c r="KH171">
        <v>50</v>
      </c>
      <c r="KI171" t="s">
        <v>796</v>
      </c>
      <c r="KJ171" t="s">
        <v>198</v>
      </c>
      <c r="KK171" t="s">
        <v>738</v>
      </c>
    </row>
    <row r="172" spans="1:297" x14ac:dyDescent="0.2">
      <c r="A172">
        <v>171</v>
      </c>
      <c r="B172" t="s">
        <v>705</v>
      </c>
      <c r="C172" t="s">
        <v>205</v>
      </c>
      <c r="D172" t="s">
        <v>203</v>
      </c>
      <c r="E172">
        <v>28</v>
      </c>
      <c r="F172" t="s">
        <v>204</v>
      </c>
      <c r="G172" t="s">
        <v>1</v>
      </c>
      <c r="H172" s="26" t="s">
        <v>1420</v>
      </c>
      <c r="I172" t="s">
        <v>1</v>
      </c>
      <c r="J172" t="s">
        <v>1</v>
      </c>
      <c r="K172" t="s">
        <v>1</v>
      </c>
      <c r="L172" t="s">
        <v>1</v>
      </c>
      <c r="M172" t="s">
        <v>1</v>
      </c>
      <c r="N172" t="s">
        <v>1</v>
      </c>
      <c r="O172" t="s">
        <v>1</v>
      </c>
      <c r="P172" t="s">
        <v>1</v>
      </c>
      <c r="Q172" t="s">
        <v>1</v>
      </c>
      <c r="R172" t="s">
        <v>1</v>
      </c>
      <c r="S172" t="s">
        <v>1</v>
      </c>
      <c r="T172" t="s">
        <v>1</v>
      </c>
      <c r="U172" t="s">
        <v>1</v>
      </c>
      <c r="V172" t="s">
        <v>1</v>
      </c>
      <c r="W172" t="s">
        <v>1</v>
      </c>
      <c r="X172" t="s">
        <v>1</v>
      </c>
      <c r="Y172" t="s">
        <v>1</v>
      </c>
      <c r="Z172" t="s">
        <v>1</v>
      </c>
      <c r="AA172" t="s">
        <v>1</v>
      </c>
      <c r="AB172" t="s">
        <v>1</v>
      </c>
      <c r="AC172" t="s">
        <v>1</v>
      </c>
      <c r="AD172" t="s">
        <v>1</v>
      </c>
      <c r="AE172" t="s">
        <v>1</v>
      </c>
      <c r="AF172" t="s">
        <v>1</v>
      </c>
      <c r="AG172" t="s">
        <v>1</v>
      </c>
      <c r="AH172" t="s">
        <v>1</v>
      </c>
      <c r="AI172" t="s">
        <v>1</v>
      </c>
      <c r="AJ172" t="s">
        <v>1</v>
      </c>
      <c r="AK172" t="s">
        <v>1</v>
      </c>
      <c r="AL172" t="s">
        <v>1</v>
      </c>
      <c r="AM172" t="s">
        <v>1</v>
      </c>
      <c r="AN172">
        <v>171</v>
      </c>
      <c r="AO172">
        <f t="shared" si="12"/>
        <v>171</v>
      </c>
      <c r="AP172">
        <f t="shared" si="10"/>
        <v>28</v>
      </c>
      <c r="AQ172">
        <f t="shared" si="11"/>
        <v>28</v>
      </c>
      <c r="AR172" s="26" t="s">
        <v>1355</v>
      </c>
      <c r="AS172" s="26" t="s">
        <v>1356</v>
      </c>
      <c r="AT172" t="s">
        <v>714</v>
      </c>
      <c r="AU172" t="s">
        <v>1</v>
      </c>
      <c r="AV172" t="s">
        <v>1</v>
      </c>
      <c r="AW172">
        <v>58.37</v>
      </c>
      <c r="AX172">
        <v>13.48</v>
      </c>
      <c r="AY172" t="s">
        <v>737</v>
      </c>
      <c r="BA172" s="3">
        <v>4</v>
      </c>
      <c r="BB172" s="3"/>
      <c r="BC172" s="3"/>
      <c r="BD172" s="3"/>
      <c r="BE172" s="3"/>
      <c r="BF172">
        <v>2009</v>
      </c>
      <c r="BG172" s="24" t="s">
        <v>733</v>
      </c>
      <c r="BH172" s="24" t="s">
        <v>733</v>
      </c>
      <c r="BI172" s="24" t="s">
        <v>733</v>
      </c>
      <c r="BJ172" s="24" t="s">
        <v>732</v>
      </c>
      <c r="BK172" s="24" t="s">
        <v>733</v>
      </c>
      <c r="BL172" s="25" t="s">
        <v>733</v>
      </c>
      <c r="BM172" s="24" t="s">
        <v>733</v>
      </c>
      <c r="BN172" s="24" t="s">
        <v>732</v>
      </c>
      <c r="BO172" s="24" t="s">
        <v>733</v>
      </c>
      <c r="BP172" s="24" t="s">
        <v>733</v>
      </c>
      <c r="BQ172" s="24" t="s">
        <v>945</v>
      </c>
      <c r="BR172" s="24" t="s">
        <v>945</v>
      </c>
      <c r="BS172" s="25" t="s">
        <v>934</v>
      </c>
      <c r="BT172" s="24" t="s">
        <v>934</v>
      </c>
      <c r="BU172" s="24" t="s">
        <v>934</v>
      </c>
      <c r="BV172" s="24" t="s">
        <v>934</v>
      </c>
      <c r="BW172" s="24" t="s">
        <v>934</v>
      </c>
      <c r="BX172" s="24" t="s">
        <v>934</v>
      </c>
      <c r="BY172" s="25" t="s">
        <v>945</v>
      </c>
      <c r="BZ172" t="s">
        <v>1397</v>
      </c>
      <c r="CB172" t="s">
        <v>1400</v>
      </c>
      <c r="CC172" s="4">
        <v>2834.6666666666665</v>
      </c>
      <c r="CD172" s="4"/>
      <c r="CE172" s="4"/>
      <c r="CF172" t="s">
        <v>793</v>
      </c>
      <c r="CG172">
        <v>100</v>
      </c>
      <c r="CH172" t="s">
        <v>805</v>
      </c>
      <c r="CI172" s="28">
        <f>AVERAGE(1.5,1.7,1.5)</f>
        <v>1.5666666666666667</v>
      </c>
      <c r="CJ172" s="10" t="s">
        <v>1442</v>
      </c>
      <c r="CK172" s="9" t="s">
        <v>1</v>
      </c>
      <c r="CL172" s="4" t="s">
        <v>1</v>
      </c>
      <c r="CM172" t="s">
        <v>848</v>
      </c>
      <c r="CN172" s="4">
        <f>48</f>
        <v>48</v>
      </c>
      <c r="CO172" s="21"/>
      <c r="CP172" s="4" t="s">
        <v>1</v>
      </c>
      <c r="CQ172" s="4" t="s">
        <v>1</v>
      </c>
      <c r="CR172" s="4" t="s">
        <v>1</v>
      </c>
      <c r="CS172" s="4" t="s">
        <v>1</v>
      </c>
      <c r="CT172" s="4" t="s">
        <v>1</v>
      </c>
      <c r="CU172" s="4" t="s">
        <v>1</v>
      </c>
      <c r="CV172" s="37" t="s">
        <v>855</v>
      </c>
      <c r="CW172">
        <v>100</v>
      </c>
      <c r="CX172">
        <v>0</v>
      </c>
      <c r="CY172">
        <v>30</v>
      </c>
      <c r="CZ172" s="26" t="s">
        <v>1358</v>
      </c>
      <c r="DA172" t="s">
        <v>734</v>
      </c>
      <c r="DB172">
        <v>64</v>
      </c>
      <c r="DC172">
        <v>0</v>
      </c>
      <c r="DD172">
        <v>30</v>
      </c>
      <c r="DE172" s="26" t="s">
        <v>1358</v>
      </c>
      <c r="DF172" t="s">
        <v>735</v>
      </c>
      <c r="DG172">
        <v>22</v>
      </c>
      <c r="DH172">
        <v>0</v>
      </c>
      <c r="DI172">
        <v>30</v>
      </c>
      <c r="DJ172" s="26" t="s">
        <v>1358</v>
      </c>
      <c r="DK172" t="s">
        <v>736</v>
      </c>
      <c r="DL172">
        <v>14</v>
      </c>
      <c r="DM172">
        <v>0</v>
      </c>
      <c r="DN172">
        <v>30</v>
      </c>
      <c r="DO172" s="26" t="s">
        <v>1358</v>
      </c>
      <c r="DP172" t="s">
        <v>6</v>
      </c>
      <c r="DQ172" t="s">
        <v>813</v>
      </c>
      <c r="DR172">
        <v>6.4</v>
      </c>
      <c r="DS172">
        <v>0</v>
      </c>
      <c r="DT172">
        <v>30</v>
      </c>
      <c r="DU172" s="26" t="s">
        <v>1358</v>
      </c>
      <c r="EA172" t="s">
        <v>982</v>
      </c>
      <c r="EB172">
        <v>16</v>
      </c>
      <c r="EC172">
        <v>0</v>
      </c>
      <c r="ED172">
        <v>30</v>
      </c>
      <c r="EE172" s="26" t="s">
        <v>1358</v>
      </c>
      <c r="EF172" s="26"/>
      <c r="FZ172" t="s">
        <v>806</v>
      </c>
      <c r="GA172">
        <v>669.41456670000002</v>
      </c>
      <c r="GE172" s="26" t="s">
        <v>1358</v>
      </c>
      <c r="HA172" s="5" t="s">
        <v>1069</v>
      </c>
      <c r="HB172" s="4">
        <v>13</v>
      </c>
      <c r="HC172">
        <v>0</v>
      </c>
      <c r="HD172">
        <v>30</v>
      </c>
      <c r="HE172" s="26" t="s">
        <v>1358</v>
      </c>
      <c r="HF172" s="5" t="s">
        <v>1063</v>
      </c>
      <c r="HG172" s="4">
        <v>1.4000000000000001</v>
      </c>
      <c r="HH172">
        <v>0</v>
      </c>
      <c r="HI172">
        <v>30</v>
      </c>
      <c r="HJ172" s="26" t="s">
        <v>1358</v>
      </c>
      <c r="HK172" t="s">
        <v>1</v>
      </c>
      <c r="HL172" t="s">
        <v>1</v>
      </c>
      <c r="HM172" t="s">
        <v>1</v>
      </c>
      <c r="HN172" t="s">
        <v>1</v>
      </c>
      <c r="HO172" t="s">
        <v>1</v>
      </c>
      <c r="HP172" t="s">
        <v>1</v>
      </c>
      <c r="HZ172" t="s">
        <v>1</v>
      </c>
      <c r="IA172" t="s">
        <v>1</v>
      </c>
      <c r="IB172" s="10" t="s">
        <v>1</v>
      </c>
      <c r="IC172" s="10"/>
      <c r="ID172" s="10"/>
      <c r="IE172" s="10" t="s">
        <v>1</v>
      </c>
      <c r="IF172" s="10" t="s">
        <v>1</v>
      </c>
      <c r="IG172" s="10"/>
      <c r="IH172" s="10"/>
      <c r="II172" s="10"/>
      <c r="IJ172" s="10"/>
      <c r="IK172" s="10"/>
      <c r="IL172" s="10"/>
      <c r="IM172" s="10"/>
      <c r="IN172" s="10"/>
      <c r="IO172" s="10"/>
      <c r="IP172" s="10"/>
      <c r="IQ172" s="10"/>
      <c r="IR172" s="10"/>
      <c r="IS172" t="s">
        <v>1</v>
      </c>
      <c r="IT172" t="s">
        <v>1</v>
      </c>
      <c r="IW172" t="s">
        <v>1</v>
      </c>
      <c r="IX172" t="s">
        <v>1</v>
      </c>
      <c r="IY172" t="s">
        <v>1</v>
      </c>
      <c r="IZ172" t="s">
        <v>1</v>
      </c>
      <c r="JA172" t="s">
        <v>1</v>
      </c>
      <c r="JB172" s="3" t="s">
        <v>1</v>
      </c>
      <c r="JC172" t="s">
        <v>1</v>
      </c>
      <c r="JD172" s="4" t="s">
        <v>1</v>
      </c>
      <c r="JE172" t="s">
        <v>1</v>
      </c>
      <c r="JF172" t="s">
        <v>1</v>
      </c>
      <c r="JR172" t="s">
        <v>1066</v>
      </c>
      <c r="JS172">
        <v>159.4</v>
      </c>
      <c r="JU172" t="s">
        <v>1</v>
      </c>
      <c r="JW172" t="s">
        <v>1</v>
      </c>
      <c r="JX172">
        <v>0</v>
      </c>
      <c r="JY172">
        <v>80</v>
      </c>
      <c r="JZ172" t="s">
        <v>800</v>
      </c>
      <c r="KA172" t="s">
        <v>206</v>
      </c>
      <c r="KB172" t="s">
        <v>738</v>
      </c>
      <c r="KC172" t="s">
        <v>1</v>
      </c>
      <c r="KD172" t="s">
        <v>1</v>
      </c>
      <c r="KE172" t="s">
        <v>1</v>
      </c>
      <c r="KF172" t="s">
        <v>1</v>
      </c>
      <c r="KG172" t="s">
        <v>1</v>
      </c>
      <c r="KH172" t="s">
        <v>1</v>
      </c>
      <c r="KI172" t="s">
        <v>1</v>
      </c>
      <c r="KJ172" t="s">
        <v>1</v>
      </c>
      <c r="KK172" t="s">
        <v>1</v>
      </c>
    </row>
    <row r="173" spans="1:297" x14ac:dyDescent="0.2">
      <c r="A173">
        <v>172</v>
      </c>
      <c r="B173" t="s">
        <v>705</v>
      </c>
      <c r="C173" t="s">
        <v>207</v>
      </c>
      <c r="D173" t="s">
        <v>203</v>
      </c>
      <c r="E173">
        <v>28</v>
      </c>
      <c r="F173" t="s">
        <v>204</v>
      </c>
      <c r="G173" t="s">
        <v>1</v>
      </c>
      <c r="H173" s="26" t="s">
        <v>1420</v>
      </c>
      <c r="I173" t="s">
        <v>1</v>
      </c>
      <c r="J173" t="s">
        <v>1</v>
      </c>
      <c r="K173" t="s">
        <v>1</v>
      </c>
      <c r="L173" t="s">
        <v>1</v>
      </c>
      <c r="M173" t="s">
        <v>1</v>
      </c>
      <c r="N173" t="s">
        <v>1</v>
      </c>
      <c r="O173" t="s">
        <v>1</v>
      </c>
      <c r="P173" t="s">
        <v>1</v>
      </c>
      <c r="Q173" t="s">
        <v>1</v>
      </c>
      <c r="R173" t="s">
        <v>1</v>
      </c>
      <c r="S173" t="s">
        <v>1</v>
      </c>
      <c r="T173" t="s">
        <v>1</v>
      </c>
      <c r="U173" t="s">
        <v>1</v>
      </c>
      <c r="V173" t="s">
        <v>1</v>
      </c>
      <c r="W173" t="s">
        <v>1</v>
      </c>
      <c r="X173" t="s">
        <v>1</v>
      </c>
      <c r="Y173" t="s">
        <v>1</v>
      </c>
      <c r="Z173" t="s">
        <v>1</v>
      </c>
      <c r="AA173" t="s">
        <v>1</v>
      </c>
      <c r="AB173" t="s">
        <v>1</v>
      </c>
      <c r="AC173" t="s">
        <v>1</v>
      </c>
      <c r="AD173" t="s">
        <v>1</v>
      </c>
      <c r="AE173" t="s">
        <v>1</v>
      </c>
      <c r="AF173" t="s">
        <v>1</v>
      </c>
      <c r="AG173" t="s">
        <v>1</v>
      </c>
      <c r="AH173" t="s">
        <v>1</v>
      </c>
      <c r="AI173" t="s">
        <v>1</v>
      </c>
      <c r="AJ173" t="s">
        <v>1</v>
      </c>
      <c r="AK173" t="s">
        <v>1</v>
      </c>
      <c r="AL173" t="s">
        <v>1</v>
      </c>
      <c r="AM173" t="s">
        <v>1</v>
      </c>
      <c r="AN173">
        <v>172</v>
      </c>
      <c r="AO173">
        <f t="shared" si="12"/>
        <v>172</v>
      </c>
      <c r="AP173">
        <f t="shared" si="10"/>
        <v>28</v>
      </c>
      <c r="AQ173">
        <f t="shared" si="11"/>
        <v>28</v>
      </c>
      <c r="AR173" s="26" t="s">
        <v>1355</v>
      </c>
      <c r="AS173" s="26" t="s">
        <v>1356</v>
      </c>
      <c r="AT173" t="s">
        <v>714</v>
      </c>
      <c r="AU173" t="s">
        <v>1</v>
      </c>
      <c r="AV173" t="s">
        <v>1</v>
      </c>
      <c r="AW173">
        <v>58.37</v>
      </c>
      <c r="AX173">
        <v>13.48</v>
      </c>
      <c r="AY173" t="s">
        <v>737</v>
      </c>
      <c r="BA173" s="3">
        <v>4</v>
      </c>
      <c r="BB173" s="3"/>
      <c r="BC173" s="3"/>
      <c r="BD173" s="3"/>
      <c r="BE173" s="3"/>
      <c r="BF173">
        <v>2009</v>
      </c>
      <c r="BG173" s="24" t="s">
        <v>733</v>
      </c>
      <c r="BH173" s="24" t="s">
        <v>733</v>
      </c>
      <c r="BI173" s="24" t="s">
        <v>733</v>
      </c>
      <c r="BJ173" s="24" t="s">
        <v>732</v>
      </c>
      <c r="BK173" s="24" t="s">
        <v>733</v>
      </c>
      <c r="BL173" s="25" t="s">
        <v>733</v>
      </c>
      <c r="BM173" s="24" t="s">
        <v>733</v>
      </c>
      <c r="BN173" s="24" t="s">
        <v>732</v>
      </c>
      <c r="BO173" s="24" t="s">
        <v>733</v>
      </c>
      <c r="BP173" s="24" t="s">
        <v>733</v>
      </c>
      <c r="BQ173" s="24" t="s">
        <v>945</v>
      </c>
      <c r="BR173" s="24" t="s">
        <v>945</v>
      </c>
      <c r="BS173" s="25" t="s">
        <v>934</v>
      </c>
      <c r="BT173" s="24" t="s">
        <v>934</v>
      </c>
      <c r="BU173" s="24" t="s">
        <v>934</v>
      </c>
      <c r="BV173" s="24" t="s">
        <v>934</v>
      </c>
      <c r="BW173" s="24" t="s">
        <v>934</v>
      </c>
      <c r="BX173" s="24" t="s">
        <v>934</v>
      </c>
      <c r="BY173" s="25" t="s">
        <v>945</v>
      </c>
      <c r="BZ173" t="s">
        <v>1397</v>
      </c>
      <c r="CB173" t="s">
        <v>1400</v>
      </c>
      <c r="CC173" s="4">
        <v>3682.6666666666665</v>
      </c>
      <c r="CD173" s="4"/>
      <c r="CE173" s="4"/>
      <c r="CF173" t="s">
        <v>793</v>
      </c>
      <c r="CG173">
        <v>100</v>
      </c>
      <c r="CH173" t="s">
        <v>805</v>
      </c>
      <c r="CI173" s="28">
        <f t="shared" ref="CI173:CI178" si="16">AVERAGE(1.5,1.7,1.5)</f>
        <v>1.5666666666666667</v>
      </c>
      <c r="CJ173" s="10" t="s">
        <v>1442</v>
      </c>
      <c r="CK173" s="9" t="s">
        <v>1</v>
      </c>
      <c r="CL173" s="4" t="s">
        <v>1</v>
      </c>
      <c r="CM173" t="s">
        <v>848</v>
      </c>
      <c r="CN173" s="4">
        <f>65.67</f>
        <v>65.67</v>
      </c>
      <c r="CO173" s="21"/>
      <c r="CP173" s="4" t="s">
        <v>1</v>
      </c>
      <c r="CQ173" s="4" t="s">
        <v>1</v>
      </c>
      <c r="CR173" s="4" t="s">
        <v>1</v>
      </c>
      <c r="CS173" s="4" t="s">
        <v>1</v>
      </c>
      <c r="CT173" s="4" t="s">
        <v>1</v>
      </c>
      <c r="CU173" s="4" t="s">
        <v>1</v>
      </c>
      <c r="CV173" s="37" t="s">
        <v>855</v>
      </c>
      <c r="CW173">
        <v>100</v>
      </c>
      <c r="CX173">
        <v>0</v>
      </c>
      <c r="CY173">
        <v>30</v>
      </c>
      <c r="CZ173" s="26" t="s">
        <v>1358</v>
      </c>
      <c r="DA173" t="s">
        <v>734</v>
      </c>
      <c r="DB173">
        <v>64</v>
      </c>
      <c r="DC173">
        <v>0</v>
      </c>
      <c r="DD173">
        <v>30</v>
      </c>
      <c r="DE173" s="26" t="s">
        <v>1358</v>
      </c>
      <c r="DF173" t="s">
        <v>735</v>
      </c>
      <c r="DG173">
        <v>22</v>
      </c>
      <c r="DH173">
        <v>0</v>
      </c>
      <c r="DI173">
        <v>30</v>
      </c>
      <c r="DJ173" s="26" t="s">
        <v>1358</v>
      </c>
      <c r="DK173" t="s">
        <v>736</v>
      </c>
      <c r="DL173">
        <v>14</v>
      </c>
      <c r="DM173">
        <v>0</v>
      </c>
      <c r="DN173">
        <v>30</v>
      </c>
      <c r="DO173" s="26" t="s">
        <v>1358</v>
      </c>
      <c r="DP173" t="s">
        <v>6</v>
      </c>
      <c r="DQ173" t="s">
        <v>813</v>
      </c>
      <c r="DR173">
        <v>6.4</v>
      </c>
      <c r="DS173">
        <v>0</v>
      </c>
      <c r="DT173">
        <v>30</v>
      </c>
      <c r="DU173" s="26" t="s">
        <v>1358</v>
      </c>
      <c r="EA173" t="s">
        <v>982</v>
      </c>
      <c r="EB173">
        <v>16</v>
      </c>
      <c r="EC173">
        <v>0</v>
      </c>
      <c r="ED173">
        <v>30</v>
      </c>
      <c r="EE173" s="26" t="s">
        <v>1358</v>
      </c>
      <c r="EF173" s="26"/>
      <c r="FZ173" t="s">
        <v>806</v>
      </c>
      <c r="GA173">
        <v>669.41456670000002</v>
      </c>
      <c r="GE173" s="26" t="s">
        <v>1358</v>
      </c>
      <c r="HA173" s="5" t="s">
        <v>1069</v>
      </c>
      <c r="HB173" s="4">
        <v>13</v>
      </c>
      <c r="HC173">
        <v>0</v>
      </c>
      <c r="HD173">
        <v>30</v>
      </c>
      <c r="HE173" s="26" t="s">
        <v>1358</v>
      </c>
      <c r="HF173" s="5" t="s">
        <v>1063</v>
      </c>
      <c r="HG173" s="4">
        <v>1.4000000000000001</v>
      </c>
      <c r="HH173">
        <v>0</v>
      </c>
      <c r="HI173">
        <v>30</v>
      </c>
      <c r="HJ173" s="26" t="s">
        <v>1358</v>
      </c>
      <c r="HK173" t="s">
        <v>1</v>
      </c>
      <c r="HL173" t="s">
        <v>1</v>
      </c>
      <c r="HM173" t="s">
        <v>1</v>
      </c>
      <c r="HN173" t="s">
        <v>1</v>
      </c>
      <c r="HO173" t="s">
        <v>1</v>
      </c>
      <c r="HP173" t="s">
        <v>1</v>
      </c>
      <c r="HZ173" t="s">
        <v>966</v>
      </c>
      <c r="IA173">
        <v>45</v>
      </c>
      <c r="IB173" s="10" t="s">
        <v>1</v>
      </c>
      <c r="IC173" s="10"/>
      <c r="ID173" s="10"/>
      <c r="IE173" s="10" t="s">
        <v>1</v>
      </c>
      <c r="IF173" s="10" t="s">
        <v>1</v>
      </c>
      <c r="IG173" s="10"/>
      <c r="IH173" s="10"/>
      <c r="II173" s="10"/>
      <c r="IJ173" s="10"/>
      <c r="IK173" s="10"/>
      <c r="IL173" s="10"/>
      <c r="IM173" s="10"/>
      <c r="IN173" s="10"/>
      <c r="IO173" s="10"/>
      <c r="IP173" s="10"/>
      <c r="IQ173" s="10"/>
      <c r="IR173" s="10"/>
      <c r="IS173" t="s">
        <v>1</v>
      </c>
      <c r="IT173" t="s">
        <v>1</v>
      </c>
      <c r="IW173" t="s">
        <v>1</v>
      </c>
      <c r="IX173" t="s">
        <v>1</v>
      </c>
      <c r="IY173" t="s">
        <v>1</v>
      </c>
      <c r="IZ173" t="s">
        <v>1</v>
      </c>
      <c r="JA173" t="s">
        <v>1</v>
      </c>
      <c r="JB173" s="3" t="s">
        <v>1</v>
      </c>
      <c r="JC173" t="s">
        <v>1</v>
      </c>
      <c r="JD173" s="4" t="s">
        <v>1</v>
      </c>
      <c r="JE173" t="s">
        <v>1</v>
      </c>
      <c r="JF173" t="s">
        <v>1</v>
      </c>
      <c r="JR173" t="s">
        <v>1066</v>
      </c>
      <c r="JS173">
        <v>171.2</v>
      </c>
      <c r="JU173" t="s">
        <v>1</v>
      </c>
      <c r="JW173" t="s">
        <v>1</v>
      </c>
      <c r="JX173">
        <v>0</v>
      </c>
      <c r="JY173">
        <v>80</v>
      </c>
      <c r="JZ173" t="s">
        <v>800</v>
      </c>
      <c r="KA173" t="s">
        <v>206</v>
      </c>
      <c r="KB173" t="s">
        <v>738</v>
      </c>
      <c r="KC173" t="s">
        <v>1</v>
      </c>
      <c r="KD173" t="s">
        <v>1</v>
      </c>
      <c r="KE173" t="s">
        <v>1</v>
      </c>
      <c r="KF173" t="s">
        <v>1</v>
      </c>
      <c r="KG173" t="s">
        <v>1</v>
      </c>
      <c r="KH173" t="s">
        <v>1</v>
      </c>
      <c r="KI173" t="s">
        <v>1</v>
      </c>
      <c r="KJ173" t="s">
        <v>1</v>
      </c>
      <c r="KK173" t="s">
        <v>1</v>
      </c>
    </row>
    <row r="174" spans="1:297" x14ac:dyDescent="0.2">
      <c r="A174">
        <v>173</v>
      </c>
      <c r="B174" t="s">
        <v>705</v>
      </c>
      <c r="C174" t="s">
        <v>208</v>
      </c>
      <c r="D174" t="s">
        <v>203</v>
      </c>
      <c r="E174">
        <v>28</v>
      </c>
      <c r="F174" t="s">
        <v>204</v>
      </c>
      <c r="G174" t="s">
        <v>1</v>
      </c>
      <c r="H174" s="26" t="s">
        <v>1420</v>
      </c>
      <c r="I174" t="s">
        <v>1</v>
      </c>
      <c r="J174" t="s">
        <v>1</v>
      </c>
      <c r="K174" t="s">
        <v>1</v>
      </c>
      <c r="L174" t="s">
        <v>1</v>
      </c>
      <c r="M174" t="s">
        <v>1</v>
      </c>
      <c r="N174" t="s">
        <v>1</v>
      </c>
      <c r="O174" t="s">
        <v>1</v>
      </c>
      <c r="P174" t="s">
        <v>1</v>
      </c>
      <c r="Q174" t="s">
        <v>1</v>
      </c>
      <c r="R174" t="s">
        <v>1</v>
      </c>
      <c r="S174" t="s">
        <v>1</v>
      </c>
      <c r="T174" t="s">
        <v>1</v>
      </c>
      <c r="U174" t="s">
        <v>1</v>
      </c>
      <c r="V174" t="s">
        <v>1</v>
      </c>
      <c r="W174" t="s">
        <v>1</v>
      </c>
      <c r="X174" t="s">
        <v>1</v>
      </c>
      <c r="Y174" t="s">
        <v>1</v>
      </c>
      <c r="Z174" t="s">
        <v>1</v>
      </c>
      <c r="AA174" t="s">
        <v>1</v>
      </c>
      <c r="AB174" t="s">
        <v>1</v>
      </c>
      <c r="AC174" t="s">
        <v>1</v>
      </c>
      <c r="AD174" t="s">
        <v>1</v>
      </c>
      <c r="AE174" t="s">
        <v>1</v>
      </c>
      <c r="AF174" t="s">
        <v>1</v>
      </c>
      <c r="AG174" t="s">
        <v>1</v>
      </c>
      <c r="AH174" t="s">
        <v>1</v>
      </c>
      <c r="AI174" t="s">
        <v>1</v>
      </c>
      <c r="AJ174" t="s">
        <v>1</v>
      </c>
      <c r="AK174" t="s">
        <v>1</v>
      </c>
      <c r="AL174" t="s">
        <v>1</v>
      </c>
      <c r="AM174" t="s">
        <v>1</v>
      </c>
      <c r="AN174">
        <v>173</v>
      </c>
      <c r="AO174">
        <f t="shared" si="12"/>
        <v>173</v>
      </c>
      <c r="AP174">
        <f t="shared" si="10"/>
        <v>28</v>
      </c>
      <c r="AQ174">
        <f t="shared" si="11"/>
        <v>28</v>
      </c>
      <c r="AR174" s="26" t="s">
        <v>1355</v>
      </c>
      <c r="AS174" s="26" t="s">
        <v>1356</v>
      </c>
      <c r="AT174" t="s">
        <v>714</v>
      </c>
      <c r="AU174" t="s">
        <v>1</v>
      </c>
      <c r="AV174" t="s">
        <v>1</v>
      </c>
      <c r="AW174">
        <v>58.37</v>
      </c>
      <c r="AX174">
        <v>13.48</v>
      </c>
      <c r="AY174" t="s">
        <v>737</v>
      </c>
      <c r="BA174" s="3">
        <v>4</v>
      </c>
      <c r="BB174" s="3"/>
      <c r="BC174" s="3"/>
      <c r="BD174" s="3"/>
      <c r="BE174" s="3"/>
      <c r="BF174">
        <v>2009</v>
      </c>
      <c r="BG174" s="24" t="s">
        <v>733</v>
      </c>
      <c r="BH174" s="24" t="s">
        <v>733</v>
      </c>
      <c r="BI174" s="24" t="s">
        <v>733</v>
      </c>
      <c r="BJ174" s="24" t="s">
        <v>732</v>
      </c>
      <c r="BK174" s="24" t="s">
        <v>733</v>
      </c>
      <c r="BL174" s="25" t="s">
        <v>733</v>
      </c>
      <c r="BM174" s="24" t="s">
        <v>733</v>
      </c>
      <c r="BN174" s="24" t="s">
        <v>732</v>
      </c>
      <c r="BO174" s="24" t="s">
        <v>733</v>
      </c>
      <c r="BP174" s="24" t="s">
        <v>733</v>
      </c>
      <c r="BQ174" s="24" t="s">
        <v>945</v>
      </c>
      <c r="BR174" s="24" t="s">
        <v>945</v>
      </c>
      <c r="BS174" s="25" t="s">
        <v>934</v>
      </c>
      <c r="BT174" s="24" t="s">
        <v>934</v>
      </c>
      <c r="BU174" s="24" t="s">
        <v>934</v>
      </c>
      <c r="BV174" s="24" t="s">
        <v>934</v>
      </c>
      <c r="BW174" s="24" t="s">
        <v>934</v>
      </c>
      <c r="BX174" s="24" t="s">
        <v>934</v>
      </c>
      <c r="BY174" s="25" t="s">
        <v>945</v>
      </c>
      <c r="BZ174" t="s">
        <v>1397</v>
      </c>
      <c r="CB174" t="s">
        <v>1400</v>
      </c>
      <c r="CC174" s="4">
        <v>3871.6666666666665</v>
      </c>
      <c r="CD174" s="4"/>
      <c r="CE174" s="4"/>
      <c r="CF174" t="s">
        <v>793</v>
      </c>
      <c r="CG174">
        <v>100</v>
      </c>
      <c r="CH174" t="s">
        <v>805</v>
      </c>
      <c r="CI174" s="28">
        <f t="shared" si="16"/>
        <v>1.5666666666666667</v>
      </c>
      <c r="CJ174" s="10" t="s">
        <v>1442</v>
      </c>
      <c r="CK174" s="9" t="s">
        <v>1</v>
      </c>
      <c r="CL174" s="4" t="s">
        <v>1</v>
      </c>
      <c r="CM174" t="s">
        <v>848</v>
      </c>
      <c r="CN174" s="4">
        <f>71.3</f>
        <v>71.3</v>
      </c>
      <c r="CO174" s="21"/>
      <c r="CP174" s="4" t="s">
        <v>1</v>
      </c>
      <c r="CQ174" s="4" t="s">
        <v>1</v>
      </c>
      <c r="CR174" s="4" t="s">
        <v>1</v>
      </c>
      <c r="CS174" s="4" t="s">
        <v>1</v>
      </c>
      <c r="CT174" s="4" t="s">
        <v>1</v>
      </c>
      <c r="CU174" s="4" t="s">
        <v>1</v>
      </c>
      <c r="CV174" s="37" t="s">
        <v>855</v>
      </c>
      <c r="CW174">
        <v>100</v>
      </c>
      <c r="CX174">
        <v>0</v>
      </c>
      <c r="CY174">
        <v>30</v>
      </c>
      <c r="CZ174" s="26" t="s">
        <v>1358</v>
      </c>
      <c r="DA174" t="s">
        <v>734</v>
      </c>
      <c r="DB174">
        <v>64</v>
      </c>
      <c r="DC174">
        <v>0</v>
      </c>
      <c r="DD174">
        <v>30</v>
      </c>
      <c r="DE174" s="26" t="s">
        <v>1358</v>
      </c>
      <c r="DF174" t="s">
        <v>735</v>
      </c>
      <c r="DG174">
        <v>22</v>
      </c>
      <c r="DH174">
        <v>0</v>
      </c>
      <c r="DI174">
        <v>30</v>
      </c>
      <c r="DJ174" s="26" t="s">
        <v>1358</v>
      </c>
      <c r="DK174" t="s">
        <v>736</v>
      </c>
      <c r="DL174">
        <v>14</v>
      </c>
      <c r="DM174">
        <v>0</v>
      </c>
      <c r="DN174">
        <v>30</v>
      </c>
      <c r="DO174" s="26" t="s">
        <v>1358</v>
      </c>
      <c r="DP174" t="s">
        <v>6</v>
      </c>
      <c r="DQ174" t="s">
        <v>813</v>
      </c>
      <c r="DR174">
        <v>6.4</v>
      </c>
      <c r="DS174">
        <v>0</v>
      </c>
      <c r="DT174">
        <v>30</v>
      </c>
      <c r="DU174" s="26" t="s">
        <v>1358</v>
      </c>
      <c r="EA174" t="s">
        <v>982</v>
      </c>
      <c r="EB174">
        <v>16</v>
      </c>
      <c r="EC174">
        <v>0</v>
      </c>
      <c r="ED174">
        <v>30</v>
      </c>
      <c r="EE174" s="26" t="s">
        <v>1358</v>
      </c>
      <c r="EF174" s="26"/>
      <c r="FZ174" t="s">
        <v>806</v>
      </c>
      <c r="GA174">
        <v>669.41456670000002</v>
      </c>
      <c r="GE174" s="26" t="s">
        <v>1358</v>
      </c>
      <c r="HA174" s="5" t="s">
        <v>1069</v>
      </c>
      <c r="HB174" s="4">
        <v>13</v>
      </c>
      <c r="HC174">
        <v>0</v>
      </c>
      <c r="HD174">
        <v>30</v>
      </c>
      <c r="HE174" s="26" t="s">
        <v>1358</v>
      </c>
      <c r="HF174" s="5" t="s">
        <v>1063</v>
      </c>
      <c r="HG174" s="4">
        <v>1.4000000000000001</v>
      </c>
      <c r="HH174">
        <v>0</v>
      </c>
      <c r="HI174">
        <v>30</v>
      </c>
      <c r="HJ174" s="26" t="s">
        <v>1358</v>
      </c>
      <c r="HK174" t="s">
        <v>1</v>
      </c>
      <c r="HL174" t="s">
        <v>1</v>
      </c>
      <c r="HM174" t="s">
        <v>1</v>
      </c>
      <c r="HN174" t="s">
        <v>1</v>
      </c>
      <c r="HO174" t="s">
        <v>1</v>
      </c>
      <c r="HP174" t="s">
        <v>1</v>
      </c>
      <c r="HZ174" t="s">
        <v>966</v>
      </c>
      <c r="IA174">
        <v>70</v>
      </c>
      <c r="IB174" s="10" t="s">
        <v>1</v>
      </c>
      <c r="IC174" s="10"/>
      <c r="ID174" s="10"/>
      <c r="IE174" s="10" t="s">
        <v>1</v>
      </c>
      <c r="IF174" s="10" t="s">
        <v>1</v>
      </c>
      <c r="IG174" s="10"/>
      <c r="IH174" s="10"/>
      <c r="II174" s="10"/>
      <c r="IJ174" s="10"/>
      <c r="IK174" s="10"/>
      <c r="IL174" s="10"/>
      <c r="IM174" s="10"/>
      <c r="IN174" s="10"/>
      <c r="IO174" s="10"/>
      <c r="IP174" s="10"/>
      <c r="IQ174" s="10"/>
      <c r="IR174" s="10"/>
      <c r="IS174" t="s">
        <v>1</v>
      </c>
      <c r="IT174" t="s">
        <v>1</v>
      </c>
      <c r="IW174" t="s">
        <v>1</v>
      </c>
      <c r="IX174" t="s">
        <v>1</v>
      </c>
      <c r="IY174" t="s">
        <v>1</v>
      </c>
      <c r="IZ174" t="s">
        <v>1</v>
      </c>
      <c r="JA174" t="s">
        <v>1</v>
      </c>
      <c r="JB174" s="3" t="s">
        <v>1</v>
      </c>
      <c r="JC174" t="s">
        <v>1</v>
      </c>
      <c r="JD174" s="4" t="s">
        <v>1</v>
      </c>
      <c r="JE174" t="s">
        <v>1</v>
      </c>
      <c r="JF174" t="s">
        <v>1</v>
      </c>
      <c r="JR174" t="s">
        <v>1066</v>
      </c>
      <c r="JS174">
        <v>172.6</v>
      </c>
      <c r="JU174" t="s">
        <v>1</v>
      </c>
      <c r="JW174" t="s">
        <v>1</v>
      </c>
      <c r="JX174">
        <v>0</v>
      </c>
      <c r="JY174">
        <v>80</v>
      </c>
      <c r="JZ174" t="s">
        <v>800</v>
      </c>
      <c r="KA174" t="s">
        <v>206</v>
      </c>
      <c r="KB174" t="s">
        <v>738</v>
      </c>
      <c r="KC174" t="s">
        <v>1</v>
      </c>
      <c r="KD174" t="s">
        <v>1</v>
      </c>
      <c r="KE174" t="s">
        <v>1</v>
      </c>
      <c r="KF174" t="s">
        <v>1</v>
      </c>
      <c r="KG174" t="s">
        <v>1</v>
      </c>
      <c r="KH174" t="s">
        <v>1</v>
      </c>
      <c r="KI174" t="s">
        <v>1</v>
      </c>
      <c r="KJ174" t="s">
        <v>1</v>
      </c>
      <c r="KK174" t="s">
        <v>1</v>
      </c>
    </row>
    <row r="175" spans="1:297" x14ac:dyDescent="0.2">
      <c r="A175">
        <v>174</v>
      </c>
      <c r="B175" t="s">
        <v>705</v>
      </c>
      <c r="C175" t="s">
        <v>209</v>
      </c>
      <c r="D175" t="s">
        <v>203</v>
      </c>
      <c r="E175">
        <v>28</v>
      </c>
      <c r="F175" t="s">
        <v>204</v>
      </c>
      <c r="G175" t="s">
        <v>1</v>
      </c>
      <c r="H175" s="26" t="s">
        <v>1420</v>
      </c>
      <c r="I175" t="s">
        <v>1</v>
      </c>
      <c r="J175" t="s">
        <v>1</v>
      </c>
      <c r="K175" t="s">
        <v>1</v>
      </c>
      <c r="L175" t="s">
        <v>1</v>
      </c>
      <c r="M175" t="s">
        <v>1</v>
      </c>
      <c r="N175" t="s">
        <v>1</v>
      </c>
      <c r="O175" t="s">
        <v>1</v>
      </c>
      <c r="P175" t="s">
        <v>1</v>
      </c>
      <c r="Q175" t="s">
        <v>1</v>
      </c>
      <c r="R175" t="s">
        <v>1</v>
      </c>
      <c r="S175" t="s">
        <v>1</v>
      </c>
      <c r="T175" t="s">
        <v>1</v>
      </c>
      <c r="U175" t="s">
        <v>1</v>
      </c>
      <c r="V175" t="s">
        <v>1</v>
      </c>
      <c r="W175" t="s">
        <v>1</v>
      </c>
      <c r="X175" t="s">
        <v>1</v>
      </c>
      <c r="Y175" t="s">
        <v>1</v>
      </c>
      <c r="Z175" t="s">
        <v>1</v>
      </c>
      <c r="AA175" t="s">
        <v>1</v>
      </c>
      <c r="AB175" t="s">
        <v>1</v>
      </c>
      <c r="AC175" t="s">
        <v>1</v>
      </c>
      <c r="AD175" t="s">
        <v>1</v>
      </c>
      <c r="AE175" t="s">
        <v>1</v>
      </c>
      <c r="AF175" t="s">
        <v>1</v>
      </c>
      <c r="AG175" t="s">
        <v>1</v>
      </c>
      <c r="AH175" t="s">
        <v>1</v>
      </c>
      <c r="AI175" t="s">
        <v>1</v>
      </c>
      <c r="AJ175" t="s">
        <v>1</v>
      </c>
      <c r="AK175" t="s">
        <v>1</v>
      </c>
      <c r="AL175" t="s">
        <v>1</v>
      </c>
      <c r="AM175" t="s">
        <v>1</v>
      </c>
      <c r="AN175">
        <v>174</v>
      </c>
      <c r="AO175">
        <f t="shared" si="12"/>
        <v>174</v>
      </c>
      <c r="AP175">
        <f t="shared" si="10"/>
        <v>28</v>
      </c>
      <c r="AQ175">
        <f t="shared" si="11"/>
        <v>28</v>
      </c>
      <c r="AR175" s="26" t="s">
        <v>1355</v>
      </c>
      <c r="AS175" s="26" t="s">
        <v>1356</v>
      </c>
      <c r="AT175" t="s">
        <v>714</v>
      </c>
      <c r="AU175" t="s">
        <v>1</v>
      </c>
      <c r="AV175" t="s">
        <v>1</v>
      </c>
      <c r="AW175">
        <v>58.37</v>
      </c>
      <c r="AX175">
        <v>13.48</v>
      </c>
      <c r="AY175" t="s">
        <v>737</v>
      </c>
      <c r="BA175" s="3">
        <v>4</v>
      </c>
      <c r="BB175" s="3"/>
      <c r="BC175" s="3"/>
      <c r="BD175" s="3"/>
      <c r="BE175" s="3"/>
      <c r="BF175">
        <v>2009</v>
      </c>
      <c r="BG175" s="24" t="s">
        <v>733</v>
      </c>
      <c r="BH175" s="24" t="s">
        <v>733</v>
      </c>
      <c r="BI175" s="24" t="s">
        <v>733</v>
      </c>
      <c r="BJ175" s="24" t="s">
        <v>732</v>
      </c>
      <c r="BK175" s="24" t="s">
        <v>733</v>
      </c>
      <c r="BL175" s="25" t="s">
        <v>733</v>
      </c>
      <c r="BM175" s="24" t="s">
        <v>733</v>
      </c>
      <c r="BN175" s="24" t="s">
        <v>732</v>
      </c>
      <c r="BO175" s="24" t="s">
        <v>733</v>
      </c>
      <c r="BP175" s="24" t="s">
        <v>733</v>
      </c>
      <c r="BQ175" s="24" t="s">
        <v>945</v>
      </c>
      <c r="BR175" s="24" t="s">
        <v>945</v>
      </c>
      <c r="BS175" s="25" t="s">
        <v>934</v>
      </c>
      <c r="BT175" s="24" t="s">
        <v>934</v>
      </c>
      <c r="BU175" s="24" t="s">
        <v>934</v>
      </c>
      <c r="BV175" s="24" t="s">
        <v>934</v>
      </c>
      <c r="BW175" s="24" t="s">
        <v>934</v>
      </c>
      <c r="BX175" s="24" t="s">
        <v>934</v>
      </c>
      <c r="BY175" s="25" t="s">
        <v>945</v>
      </c>
      <c r="BZ175" t="s">
        <v>1397</v>
      </c>
      <c r="CB175" t="s">
        <v>1400</v>
      </c>
      <c r="CC175" s="4">
        <v>4199</v>
      </c>
      <c r="CD175" s="4"/>
      <c r="CE175" s="4"/>
      <c r="CF175" t="s">
        <v>793</v>
      </c>
      <c r="CG175">
        <v>100</v>
      </c>
      <c r="CH175" t="s">
        <v>805</v>
      </c>
      <c r="CI175" s="28">
        <f t="shared" si="16"/>
        <v>1.5666666666666667</v>
      </c>
      <c r="CJ175" s="10" t="s">
        <v>1442</v>
      </c>
      <c r="CK175" s="9" t="s">
        <v>1</v>
      </c>
      <c r="CL175" s="4" t="s">
        <v>1</v>
      </c>
      <c r="CM175" t="s">
        <v>848</v>
      </c>
      <c r="CN175" s="4">
        <f>78</f>
        <v>78</v>
      </c>
      <c r="CO175" s="21"/>
      <c r="CP175" s="4" t="s">
        <v>1</v>
      </c>
      <c r="CQ175" s="4" t="s">
        <v>1</v>
      </c>
      <c r="CR175" s="4" t="s">
        <v>1</v>
      </c>
      <c r="CS175" s="4" t="s">
        <v>1</v>
      </c>
      <c r="CT175" s="4" t="s">
        <v>1</v>
      </c>
      <c r="CU175" s="4" t="s">
        <v>1</v>
      </c>
      <c r="CV175" s="37" t="s">
        <v>855</v>
      </c>
      <c r="CW175">
        <v>100</v>
      </c>
      <c r="CX175">
        <v>0</v>
      </c>
      <c r="CY175">
        <v>30</v>
      </c>
      <c r="CZ175" s="26" t="s">
        <v>1358</v>
      </c>
      <c r="DA175" t="s">
        <v>734</v>
      </c>
      <c r="DB175">
        <v>64</v>
      </c>
      <c r="DC175">
        <v>0</v>
      </c>
      <c r="DD175">
        <v>30</v>
      </c>
      <c r="DE175" s="26" t="s">
        <v>1358</v>
      </c>
      <c r="DF175" t="s">
        <v>735</v>
      </c>
      <c r="DG175">
        <v>22</v>
      </c>
      <c r="DH175">
        <v>0</v>
      </c>
      <c r="DI175">
        <v>30</v>
      </c>
      <c r="DJ175" s="26" t="s">
        <v>1358</v>
      </c>
      <c r="DK175" t="s">
        <v>736</v>
      </c>
      <c r="DL175">
        <v>14</v>
      </c>
      <c r="DM175">
        <v>0</v>
      </c>
      <c r="DN175">
        <v>30</v>
      </c>
      <c r="DO175" s="26" t="s">
        <v>1358</v>
      </c>
      <c r="DP175" t="s">
        <v>6</v>
      </c>
      <c r="DQ175" t="s">
        <v>813</v>
      </c>
      <c r="DR175">
        <v>6.4</v>
      </c>
      <c r="DS175">
        <v>0</v>
      </c>
      <c r="DT175">
        <v>30</v>
      </c>
      <c r="DU175" s="26" t="s">
        <v>1358</v>
      </c>
      <c r="EA175" t="s">
        <v>982</v>
      </c>
      <c r="EB175">
        <v>16</v>
      </c>
      <c r="EC175">
        <v>0</v>
      </c>
      <c r="ED175">
        <v>30</v>
      </c>
      <c r="EE175" s="26" t="s">
        <v>1358</v>
      </c>
      <c r="EF175" s="26"/>
      <c r="FZ175" t="s">
        <v>806</v>
      </c>
      <c r="GA175">
        <v>669.41456670000002</v>
      </c>
      <c r="GE175" s="26" t="s">
        <v>1358</v>
      </c>
      <c r="HA175" s="5" t="s">
        <v>1069</v>
      </c>
      <c r="HB175" s="4">
        <v>13</v>
      </c>
      <c r="HC175">
        <v>0</v>
      </c>
      <c r="HD175">
        <v>30</v>
      </c>
      <c r="HE175" s="26" t="s">
        <v>1358</v>
      </c>
      <c r="HF175" s="5" t="s">
        <v>1063</v>
      </c>
      <c r="HG175" s="4">
        <v>1.4000000000000001</v>
      </c>
      <c r="HH175">
        <v>0</v>
      </c>
      <c r="HI175">
        <v>30</v>
      </c>
      <c r="HJ175" s="26" t="s">
        <v>1358</v>
      </c>
      <c r="HK175" t="s">
        <v>1</v>
      </c>
      <c r="HL175" t="s">
        <v>1</v>
      </c>
      <c r="HM175" t="s">
        <v>1</v>
      </c>
      <c r="HN175" t="s">
        <v>1</v>
      </c>
      <c r="HO175" t="s">
        <v>1</v>
      </c>
      <c r="HP175" t="s">
        <v>1</v>
      </c>
      <c r="HZ175" t="s">
        <v>966</v>
      </c>
      <c r="IA175">
        <v>90</v>
      </c>
      <c r="IB175" s="10" t="s">
        <v>1</v>
      </c>
      <c r="IC175" s="10"/>
      <c r="ID175" s="10"/>
      <c r="IE175" s="10" t="s">
        <v>1</v>
      </c>
      <c r="IF175" s="10" t="s">
        <v>1</v>
      </c>
      <c r="IG175" s="10"/>
      <c r="IH175" s="10"/>
      <c r="II175" s="10"/>
      <c r="IJ175" s="10"/>
      <c r="IK175" s="10"/>
      <c r="IL175" s="10"/>
      <c r="IM175" s="10"/>
      <c r="IN175" s="10"/>
      <c r="IO175" s="10"/>
      <c r="IP175" s="10"/>
      <c r="IQ175" s="10"/>
      <c r="IR175" s="10"/>
      <c r="IS175" t="s">
        <v>1</v>
      </c>
      <c r="IT175" t="s">
        <v>1</v>
      </c>
      <c r="IW175" t="s">
        <v>1</v>
      </c>
      <c r="IX175" t="s">
        <v>1</v>
      </c>
      <c r="IY175" t="s">
        <v>1</v>
      </c>
      <c r="IZ175" t="s">
        <v>1</v>
      </c>
      <c r="JA175" t="s">
        <v>1</v>
      </c>
      <c r="JB175" s="3" t="s">
        <v>1</v>
      </c>
      <c r="JC175" t="s">
        <v>1</v>
      </c>
      <c r="JD175" s="4" t="s">
        <v>1</v>
      </c>
      <c r="JE175" t="s">
        <v>1</v>
      </c>
      <c r="JF175" t="s">
        <v>1</v>
      </c>
      <c r="JR175" t="s">
        <v>1066</v>
      </c>
      <c r="JS175">
        <v>183</v>
      </c>
      <c r="JU175" t="s">
        <v>1</v>
      </c>
      <c r="JW175" t="s">
        <v>1</v>
      </c>
      <c r="JX175">
        <v>0</v>
      </c>
      <c r="JY175">
        <v>80</v>
      </c>
      <c r="JZ175" t="s">
        <v>800</v>
      </c>
      <c r="KA175" t="s">
        <v>206</v>
      </c>
      <c r="KB175" t="s">
        <v>738</v>
      </c>
      <c r="KC175" t="s">
        <v>1</v>
      </c>
      <c r="KD175" t="s">
        <v>1</v>
      </c>
      <c r="KE175" t="s">
        <v>1</v>
      </c>
      <c r="KF175" t="s">
        <v>1</v>
      </c>
      <c r="KG175" t="s">
        <v>1</v>
      </c>
      <c r="KH175" t="s">
        <v>1</v>
      </c>
      <c r="KI175" t="s">
        <v>1</v>
      </c>
      <c r="KJ175" t="s">
        <v>1</v>
      </c>
      <c r="KK175" t="s">
        <v>1</v>
      </c>
    </row>
    <row r="176" spans="1:297" x14ac:dyDescent="0.2">
      <c r="A176">
        <v>175</v>
      </c>
      <c r="B176" t="s">
        <v>705</v>
      </c>
      <c r="C176" t="s">
        <v>210</v>
      </c>
      <c r="D176" t="s">
        <v>203</v>
      </c>
      <c r="E176">
        <v>28</v>
      </c>
      <c r="F176" t="s">
        <v>204</v>
      </c>
      <c r="G176" t="s">
        <v>1</v>
      </c>
      <c r="H176" s="26" t="s">
        <v>1420</v>
      </c>
      <c r="I176" t="s">
        <v>1</v>
      </c>
      <c r="J176" t="s">
        <v>1</v>
      </c>
      <c r="K176" t="s">
        <v>1</v>
      </c>
      <c r="L176" t="s">
        <v>1</v>
      </c>
      <c r="M176" t="s">
        <v>1</v>
      </c>
      <c r="N176" t="s">
        <v>1</v>
      </c>
      <c r="O176" t="s">
        <v>1</v>
      </c>
      <c r="P176" t="s">
        <v>1</v>
      </c>
      <c r="Q176" t="s">
        <v>1</v>
      </c>
      <c r="R176" t="s">
        <v>1</v>
      </c>
      <c r="S176" t="s">
        <v>1</v>
      </c>
      <c r="T176" t="s">
        <v>1</v>
      </c>
      <c r="U176" t="s">
        <v>1</v>
      </c>
      <c r="V176" t="s">
        <v>1</v>
      </c>
      <c r="W176" t="s">
        <v>1</v>
      </c>
      <c r="X176" t="s">
        <v>1</v>
      </c>
      <c r="Y176" t="s">
        <v>1</v>
      </c>
      <c r="Z176" t="s">
        <v>1</v>
      </c>
      <c r="AA176" t="s">
        <v>1</v>
      </c>
      <c r="AB176" t="s">
        <v>1</v>
      </c>
      <c r="AC176" t="s">
        <v>1</v>
      </c>
      <c r="AD176" t="s">
        <v>1</v>
      </c>
      <c r="AE176" t="s">
        <v>1</v>
      </c>
      <c r="AF176" t="s">
        <v>1</v>
      </c>
      <c r="AG176" t="s">
        <v>1</v>
      </c>
      <c r="AH176" t="s">
        <v>1</v>
      </c>
      <c r="AI176" t="s">
        <v>1</v>
      </c>
      <c r="AJ176" t="s">
        <v>1</v>
      </c>
      <c r="AK176" t="s">
        <v>1</v>
      </c>
      <c r="AL176" t="s">
        <v>1</v>
      </c>
      <c r="AM176" t="s">
        <v>1</v>
      </c>
      <c r="AN176">
        <v>175</v>
      </c>
      <c r="AO176">
        <f t="shared" si="12"/>
        <v>175</v>
      </c>
      <c r="AP176">
        <f t="shared" si="10"/>
        <v>28</v>
      </c>
      <c r="AQ176">
        <f t="shared" si="11"/>
        <v>28</v>
      </c>
      <c r="AR176" s="26" t="s">
        <v>1355</v>
      </c>
      <c r="AS176" s="26" t="s">
        <v>1356</v>
      </c>
      <c r="AT176" t="s">
        <v>714</v>
      </c>
      <c r="AU176" t="s">
        <v>1</v>
      </c>
      <c r="AV176" t="s">
        <v>1</v>
      </c>
      <c r="AW176">
        <v>58.37</v>
      </c>
      <c r="AX176">
        <v>13.48</v>
      </c>
      <c r="AY176" t="s">
        <v>737</v>
      </c>
      <c r="BA176" s="3">
        <v>4</v>
      </c>
      <c r="BB176" s="3"/>
      <c r="BC176" s="3"/>
      <c r="BD176" s="3"/>
      <c r="BE176" s="3"/>
      <c r="BF176">
        <v>2009</v>
      </c>
      <c r="BG176" s="24" t="s">
        <v>733</v>
      </c>
      <c r="BH176" s="24" t="s">
        <v>733</v>
      </c>
      <c r="BI176" s="24" t="s">
        <v>733</v>
      </c>
      <c r="BJ176" s="24" t="s">
        <v>732</v>
      </c>
      <c r="BK176" s="24" t="s">
        <v>733</v>
      </c>
      <c r="BL176" s="25" t="s">
        <v>733</v>
      </c>
      <c r="BM176" s="24" t="s">
        <v>733</v>
      </c>
      <c r="BN176" s="24" t="s">
        <v>732</v>
      </c>
      <c r="BO176" s="24" t="s">
        <v>733</v>
      </c>
      <c r="BP176" s="24" t="s">
        <v>733</v>
      </c>
      <c r="BQ176" s="24" t="s">
        <v>945</v>
      </c>
      <c r="BR176" s="24" t="s">
        <v>945</v>
      </c>
      <c r="BS176" s="25" t="s">
        <v>934</v>
      </c>
      <c r="BT176" s="24" t="s">
        <v>934</v>
      </c>
      <c r="BU176" s="24" t="s">
        <v>934</v>
      </c>
      <c r="BV176" s="24" t="s">
        <v>934</v>
      </c>
      <c r="BW176" s="24" t="s">
        <v>934</v>
      </c>
      <c r="BX176" s="24" t="s">
        <v>934</v>
      </c>
      <c r="BY176" s="25" t="s">
        <v>945</v>
      </c>
      <c r="BZ176" t="s">
        <v>1397</v>
      </c>
      <c r="CB176" t="s">
        <v>1400</v>
      </c>
      <c r="CC176" s="4">
        <v>3993.6666666666665</v>
      </c>
      <c r="CD176" s="4"/>
      <c r="CE176" s="4"/>
      <c r="CF176" t="s">
        <v>793</v>
      </c>
      <c r="CG176">
        <v>100</v>
      </c>
      <c r="CH176" t="s">
        <v>805</v>
      </c>
      <c r="CI176" s="28">
        <f t="shared" si="16"/>
        <v>1.5666666666666667</v>
      </c>
      <c r="CJ176" s="10" t="s">
        <v>1442</v>
      </c>
      <c r="CK176" s="9" t="s">
        <v>1</v>
      </c>
      <c r="CL176" s="4" t="s">
        <v>1</v>
      </c>
      <c r="CM176" t="s">
        <v>848</v>
      </c>
      <c r="CN176" s="4">
        <f>74.3</f>
        <v>74.3</v>
      </c>
      <c r="CO176" s="21"/>
      <c r="CP176" s="4" t="s">
        <v>1</v>
      </c>
      <c r="CQ176" s="4" t="s">
        <v>1</v>
      </c>
      <c r="CR176" s="4" t="s">
        <v>1</v>
      </c>
      <c r="CS176" s="4" t="s">
        <v>1</v>
      </c>
      <c r="CT176" s="4" t="s">
        <v>1</v>
      </c>
      <c r="CU176" s="4" t="s">
        <v>1</v>
      </c>
      <c r="CV176" s="37" t="s">
        <v>855</v>
      </c>
      <c r="CW176">
        <v>100</v>
      </c>
      <c r="CX176">
        <v>0</v>
      </c>
      <c r="CY176">
        <v>30</v>
      </c>
      <c r="CZ176" s="26" t="s">
        <v>1358</v>
      </c>
      <c r="DA176" t="s">
        <v>734</v>
      </c>
      <c r="DB176">
        <v>64</v>
      </c>
      <c r="DC176">
        <v>0</v>
      </c>
      <c r="DD176">
        <v>30</v>
      </c>
      <c r="DE176" s="26" t="s">
        <v>1358</v>
      </c>
      <c r="DF176" t="s">
        <v>735</v>
      </c>
      <c r="DG176">
        <v>22</v>
      </c>
      <c r="DH176">
        <v>0</v>
      </c>
      <c r="DI176">
        <v>30</v>
      </c>
      <c r="DJ176" s="26" t="s">
        <v>1358</v>
      </c>
      <c r="DK176" t="s">
        <v>736</v>
      </c>
      <c r="DL176">
        <v>14</v>
      </c>
      <c r="DM176">
        <v>0</v>
      </c>
      <c r="DN176">
        <v>30</v>
      </c>
      <c r="DO176" s="26" t="s">
        <v>1358</v>
      </c>
      <c r="DP176" t="s">
        <v>6</v>
      </c>
      <c r="DQ176" t="s">
        <v>813</v>
      </c>
      <c r="DR176">
        <v>6.4</v>
      </c>
      <c r="DS176">
        <v>0</v>
      </c>
      <c r="DT176">
        <v>30</v>
      </c>
      <c r="DU176" s="26" t="s">
        <v>1358</v>
      </c>
      <c r="EA176" t="s">
        <v>982</v>
      </c>
      <c r="EB176">
        <v>16</v>
      </c>
      <c r="EC176">
        <v>0</v>
      </c>
      <c r="ED176">
        <v>30</v>
      </c>
      <c r="EE176" s="26" t="s">
        <v>1358</v>
      </c>
      <c r="EF176" s="26"/>
      <c r="FZ176" t="s">
        <v>806</v>
      </c>
      <c r="GA176">
        <v>669.41456670000002</v>
      </c>
      <c r="GE176" s="26" t="s">
        <v>1358</v>
      </c>
      <c r="HA176" s="5" t="s">
        <v>1069</v>
      </c>
      <c r="HB176" s="4">
        <v>13</v>
      </c>
      <c r="HC176">
        <v>0</v>
      </c>
      <c r="HD176">
        <v>30</v>
      </c>
      <c r="HE176" s="26" t="s">
        <v>1358</v>
      </c>
      <c r="HF176" s="5" t="s">
        <v>1063</v>
      </c>
      <c r="HG176" s="4">
        <v>1.4000000000000001</v>
      </c>
      <c r="HH176">
        <v>0</v>
      </c>
      <c r="HI176">
        <v>30</v>
      </c>
      <c r="HJ176" s="26" t="s">
        <v>1358</v>
      </c>
      <c r="HK176" t="s">
        <v>1</v>
      </c>
      <c r="HL176" t="s">
        <v>1</v>
      </c>
      <c r="HM176" t="s">
        <v>1</v>
      </c>
      <c r="HN176" t="s">
        <v>1</v>
      </c>
      <c r="HO176" t="s">
        <v>1</v>
      </c>
      <c r="HP176" t="s">
        <v>1</v>
      </c>
      <c r="HZ176" t="s">
        <v>966</v>
      </c>
      <c r="IA176">
        <v>110</v>
      </c>
      <c r="IB176" s="10" t="s">
        <v>1</v>
      </c>
      <c r="IC176" s="10"/>
      <c r="ID176" s="10"/>
      <c r="IE176" s="10" t="s">
        <v>1</v>
      </c>
      <c r="IF176" s="10" t="s">
        <v>1</v>
      </c>
      <c r="IG176" s="10"/>
      <c r="IH176" s="10"/>
      <c r="II176" s="10"/>
      <c r="IJ176" s="10"/>
      <c r="IK176" s="10"/>
      <c r="IL176" s="10"/>
      <c r="IM176" s="10"/>
      <c r="IN176" s="10"/>
      <c r="IO176" s="10"/>
      <c r="IP176" s="10"/>
      <c r="IQ176" s="10"/>
      <c r="IR176" s="10"/>
      <c r="IS176" t="s">
        <v>1</v>
      </c>
      <c r="IT176" t="s">
        <v>1</v>
      </c>
      <c r="IW176" t="s">
        <v>1</v>
      </c>
      <c r="IX176" t="s">
        <v>1</v>
      </c>
      <c r="IY176" t="s">
        <v>1</v>
      </c>
      <c r="IZ176" t="s">
        <v>1</v>
      </c>
      <c r="JA176" t="s">
        <v>1</v>
      </c>
      <c r="JB176" s="3" t="s">
        <v>1</v>
      </c>
      <c r="JC176" t="s">
        <v>1</v>
      </c>
      <c r="JD176" s="4" t="s">
        <v>1</v>
      </c>
      <c r="JE176" t="s">
        <v>1</v>
      </c>
      <c r="JF176" t="s">
        <v>1</v>
      </c>
      <c r="JR176" t="s">
        <v>1066</v>
      </c>
      <c r="JS176">
        <v>187.4</v>
      </c>
      <c r="JU176" t="s">
        <v>1</v>
      </c>
      <c r="JW176" t="s">
        <v>1</v>
      </c>
      <c r="JX176">
        <v>0</v>
      </c>
      <c r="JY176">
        <v>80</v>
      </c>
      <c r="JZ176" t="s">
        <v>800</v>
      </c>
      <c r="KA176" t="s">
        <v>206</v>
      </c>
      <c r="KB176" t="s">
        <v>738</v>
      </c>
      <c r="KC176" t="s">
        <v>1</v>
      </c>
      <c r="KD176" t="s">
        <v>1</v>
      </c>
      <c r="KE176" t="s">
        <v>1</v>
      </c>
      <c r="KF176" t="s">
        <v>1</v>
      </c>
      <c r="KG176" t="s">
        <v>1</v>
      </c>
      <c r="KH176" t="s">
        <v>1</v>
      </c>
      <c r="KI176" t="s">
        <v>1</v>
      </c>
      <c r="KJ176" t="s">
        <v>1</v>
      </c>
      <c r="KK176" t="s">
        <v>1</v>
      </c>
    </row>
    <row r="177" spans="1:297" x14ac:dyDescent="0.2">
      <c r="A177">
        <v>176</v>
      </c>
      <c r="B177" t="s">
        <v>705</v>
      </c>
      <c r="C177" t="s">
        <v>211</v>
      </c>
      <c r="D177" t="s">
        <v>203</v>
      </c>
      <c r="E177">
        <v>28</v>
      </c>
      <c r="F177" t="s">
        <v>204</v>
      </c>
      <c r="G177" t="s">
        <v>1</v>
      </c>
      <c r="H177" s="26" t="s">
        <v>1420</v>
      </c>
      <c r="I177" t="s">
        <v>1</v>
      </c>
      <c r="J177" t="s">
        <v>1</v>
      </c>
      <c r="K177" t="s">
        <v>1</v>
      </c>
      <c r="L177" t="s">
        <v>1</v>
      </c>
      <c r="M177" t="s">
        <v>1</v>
      </c>
      <c r="N177" t="s">
        <v>1</v>
      </c>
      <c r="O177" t="s">
        <v>1</v>
      </c>
      <c r="P177" t="s">
        <v>1</v>
      </c>
      <c r="Q177" t="s">
        <v>1</v>
      </c>
      <c r="R177" t="s">
        <v>1</v>
      </c>
      <c r="S177" t="s">
        <v>1</v>
      </c>
      <c r="T177" t="s">
        <v>1</v>
      </c>
      <c r="U177" t="s">
        <v>1</v>
      </c>
      <c r="V177" t="s">
        <v>1</v>
      </c>
      <c r="W177" t="s">
        <v>1</v>
      </c>
      <c r="X177" t="s">
        <v>1</v>
      </c>
      <c r="Y177" t="s">
        <v>1</v>
      </c>
      <c r="Z177" t="s">
        <v>1</v>
      </c>
      <c r="AA177" t="s">
        <v>1</v>
      </c>
      <c r="AB177" t="s">
        <v>1</v>
      </c>
      <c r="AC177" t="s">
        <v>1</v>
      </c>
      <c r="AD177" t="s">
        <v>1</v>
      </c>
      <c r="AE177" t="s">
        <v>1</v>
      </c>
      <c r="AF177" t="s">
        <v>1</v>
      </c>
      <c r="AG177" t="s">
        <v>1</v>
      </c>
      <c r="AH177" t="s">
        <v>1</v>
      </c>
      <c r="AI177" t="s">
        <v>1</v>
      </c>
      <c r="AJ177" t="s">
        <v>1</v>
      </c>
      <c r="AK177" t="s">
        <v>1</v>
      </c>
      <c r="AL177" t="s">
        <v>1</v>
      </c>
      <c r="AM177" t="s">
        <v>1</v>
      </c>
      <c r="AN177">
        <v>176</v>
      </c>
      <c r="AO177">
        <f t="shared" si="12"/>
        <v>176</v>
      </c>
      <c r="AP177">
        <f t="shared" si="10"/>
        <v>28</v>
      </c>
      <c r="AQ177">
        <f t="shared" si="11"/>
        <v>28</v>
      </c>
      <c r="AR177" s="26" t="s">
        <v>1355</v>
      </c>
      <c r="AS177" s="26" t="s">
        <v>1356</v>
      </c>
      <c r="AT177" t="s">
        <v>714</v>
      </c>
      <c r="AU177" t="s">
        <v>1</v>
      </c>
      <c r="AV177" t="s">
        <v>1</v>
      </c>
      <c r="AW177">
        <v>58.37</v>
      </c>
      <c r="AX177">
        <v>13.48</v>
      </c>
      <c r="AY177" t="s">
        <v>737</v>
      </c>
      <c r="BA177" s="3">
        <v>4</v>
      </c>
      <c r="BB177" s="3"/>
      <c r="BC177" s="3"/>
      <c r="BD177" s="3"/>
      <c r="BE177" s="3"/>
      <c r="BF177">
        <v>2009</v>
      </c>
      <c r="BG177" s="24" t="s">
        <v>733</v>
      </c>
      <c r="BH177" s="24" t="s">
        <v>733</v>
      </c>
      <c r="BI177" s="24" t="s">
        <v>733</v>
      </c>
      <c r="BJ177" s="24" t="s">
        <v>732</v>
      </c>
      <c r="BK177" s="24" t="s">
        <v>733</v>
      </c>
      <c r="BL177" s="25" t="s">
        <v>733</v>
      </c>
      <c r="BM177" s="24" t="s">
        <v>733</v>
      </c>
      <c r="BN177" s="24" t="s">
        <v>732</v>
      </c>
      <c r="BO177" s="24" t="s">
        <v>733</v>
      </c>
      <c r="BP177" s="24" t="s">
        <v>733</v>
      </c>
      <c r="BQ177" s="24" t="s">
        <v>945</v>
      </c>
      <c r="BR177" s="24" t="s">
        <v>945</v>
      </c>
      <c r="BS177" s="25" t="s">
        <v>934</v>
      </c>
      <c r="BT177" s="24" t="s">
        <v>934</v>
      </c>
      <c r="BU177" s="24" t="s">
        <v>934</v>
      </c>
      <c r="BV177" s="24" t="s">
        <v>934</v>
      </c>
      <c r="BW177" s="24" t="s">
        <v>934</v>
      </c>
      <c r="BX177" s="24" t="s">
        <v>934</v>
      </c>
      <c r="BY177" s="25" t="s">
        <v>945</v>
      </c>
      <c r="BZ177" t="s">
        <v>1397</v>
      </c>
      <c r="CB177" t="s">
        <v>1400</v>
      </c>
      <c r="CC177" s="4">
        <v>4050</v>
      </c>
      <c r="CD177" s="4"/>
      <c r="CE177" s="4"/>
      <c r="CF177" t="s">
        <v>793</v>
      </c>
      <c r="CG177">
        <v>100</v>
      </c>
      <c r="CH177" t="s">
        <v>805</v>
      </c>
      <c r="CI177" s="28">
        <f t="shared" si="16"/>
        <v>1.5666666666666667</v>
      </c>
      <c r="CJ177" s="10" t="s">
        <v>1442</v>
      </c>
      <c r="CK177" s="9" t="s">
        <v>1</v>
      </c>
      <c r="CL177" s="4" t="s">
        <v>1</v>
      </c>
      <c r="CM177" t="s">
        <v>848</v>
      </c>
      <c r="CN177" s="4">
        <f>75.3</f>
        <v>75.3</v>
      </c>
      <c r="CO177" s="21"/>
      <c r="CP177" s="4" t="s">
        <v>1</v>
      </c>
      <c r="CQ177" s="4" t="s">
        <v>1</v>
      </c>
      <c r="CR177" s="4" t="s">
        <v>1</v>
      </c>
      <c r="CS177" s="4" t="s">
        <v>1</v>
      </c>
      <c r="CT177" s="4" t="s">
        <v>1</v>
      </c>
      <c r="CU177" s="4" t="s">
        <v>1</v>
      </c>
      <c r="CV177" s="37" t="s">
        <v>855</v>
      </c>
      <c r="CW177">
        <v>100</v>
      </c>
      <c r="CX177">
        <v>0</v>
      </c>
      <c r="CY177">
        <v>30</v>
      </c>
      <c r="CZ177" s="26" t="s">
        <v>1358</v>
      </c>
      <c r="DA177" t="s">
        <v>734</v>
      </c>
      <c r="DB177">
        <v>64</v>
      </c>
      <c r="DC177">
        <v>0</v>
      </c>
      <c r="DD177">
        <v>30</v>
      </c>
      <c r="DE177" s="26" t="s">
        <v>1358</v>
      </c>
      <c r="DF177" t="s">
        <v>735</v>
      </c>
      <c r="DG177">
        <v>22</v>
      </c>
      <c r="DH177">
        <v>0</v>
      </c>
      <c r="DI177">
        <v>30</v>
      </c>
      <c r="DJ177" s="26" t="s">
        <v>1358</v>
      </c>
      <c r="DK177" t="s">
        <v>736</v>
      </c>
      <c r="DL177">
        <v>14</v>
      </c>
      <c r="DM177">
        <v>0</v>
      </c>
      <c r="DN177">
        <v>30</v>
      </c>
      <c r="DO177" s="26" t="s">
        <v>1358</v>
      </c>
      <c r="DP177" t="s">
        <v>6</v>
      </c>
      <c r="DQ177" t="s">
        <v>813</v>
      </c>
      <c r="DR177">
        <v>6.4</v>
      </c>
      <c r="DS177">
        <v>0</v>
      </c>
      <c r="DT177">
        <v>30</v>
      </c>
      <c r="DU177" s="26" t="s">
        <v>1358</v>
      </c>
      <c r="EA177" t="s">
        <v>982</v>
      </c>
      <c r="EB177">
        <v>16</v>
      </c>
      <c r="EC177">
        <v>0</v>
      </c>
      <c r="ED177">
        <v>30</v>
      </c>
      <c r="EE177" s="26" t="s">
        <v>1358</v>
      </c>
      <c r="EF177" s="26"/>
      <c r="FZ177" t="s">
        <v>806</v>
      </c>
      <c r="GA177">
        <v>669.41456670000002</v>
      </c>
      <c r="GE177" s="26" t="s">
        <v>1358</v>
      </c>
      <c r="HA177" s="5" t="s">
        <v>1069</v>
      </c>
      <c r="HB177" s="4">
        <v>13</v>
      </c>
      <c r="HC177">
        <v>0</v>
      </c>
      <c r="HD177">
        <v>30</v>
      </c>
      <c r="HE177" s="26" t="s">
        <v>1358</v>
      </c>
      <c r="HF177" s="5" t="s">
        <v>1063</v>
      </c>
      <c r="HG177" s="4">
        <v>1.4000000000000001</v>
      </c>
      <c r="HH177">
        <v>0</v>
      </c>
      <c r="HI177">
        <v>30</v>
      </c>
      <c r="HJ177" s="26" t="s">
        <v>1358</v>
      </c>
      <c r="HK177" t="s">
        <v>1</v>
      </c>
      <c r="HL177" t="s">
        <v>1</v>
      </c>
      <c r="HM177" t="s">
        <v>1</v>
      </c>
      <c r="HN177" t="s">
        <v>1</v>
      </c>
      <c r="HO177" t="s">
        <v>1</v>
      </c>
      <c r="HP177" t="s">
        <v>1</v>
      </c>
      <c r="HZ177" t="s">
        <v>966</v>
      </c>
      <c r="IA177">
        <v>135</v>
      </c>
      <c r="IB177" s="10" t="s">
        <v>1</v>
      </c>
      <c r="IC177" s="10"/>
      <c r="ID177" s="10"/>
      <c r="IE177" s="10" t="s">
        <v>1</v>
      </c>
      <c r="IF177" s="10" t="s">
        <v>1</v>
      </c>
      <c r="IG177" s="10"/>
      <c r="IH177" s="10"/>
      <c r="II177" s="10"/>
      <c r="IJ177" s="10"/>
      <c r="IK177" s="10"/>
      <c r="IL177" s="10"/>
      <c r="IM177" s="10"/>
      <c r="IN177" s="10"/>
      <c r="IO177" s="10"/>
      <c r="IP177" s="10"/>
      <c r="IQ177" s="10"/>
      <c r="IR177" s="10"/>
      <c r="IS177" t="s">
        <v>1</v>
      </c>
      <c r="IT177" t="s">
        <v>1</v>
      </c>
      <c r="IW177" t="s">
        <v>1</v>
      </c>
      <c r="IX177" t="s">
        <v>1</v>
      </c>
      <c r="IY177" t="s">
        <v>1</v>
      </c>
      <c r="IZ177" t="s">
        <v>1</v>
      </c>
      <c r="JA177" t="s">
        <v>1</v>
      </c>
      <c r="JB177" s="3" t="s">
        <v>1</v>
      </c>
      <c r="JC177" t="s">
        <v>1</v>
      </c>
      <c r="JD177" s="4" t="s">
        <v>1</v>
      </c>
      <c r="JE177" t="s">
        <v>1</v>
      </c>
      <c r="JF177" t="s">
        <v>1</v>
      </c>
      <c r="JR177" t="s">
        <v>1066</v>
      </c>
      <c r="JS177">
        <v>236.1</v>
      </c>
      <c r="JU177" t="s">
        <v>1</v>
      </c>
      <c r="JW177" t="s">
        <v>1</v>
      </c>
      <c r="JX177">
        <v>0</v>
      </c>
      <c r="JY177">
        <v>80</v>
      </c>
      <c r="JZ177" t="s">
        <v>800</v>
      </c>
      <c r="KA177" t="s">
        <v>206</v>
      </c>
      <c r="KB177" t="s">
        <v>738</v>
      </c>
      <c r="KC177" t="s">
        <v>1</v>
      </c>
      <c r="KD177" t="s">
        <v>1</v>
      </c>
      <c r="KE177" t="s">
        <v>1</v>
      </c>
      <c r="KF177" t="s">
        <v>1</v>
      </c>
      <c r="KG177" t="s">
        <v>1</v>
      </c>
      <c r="KH177" t="s">
        <v>1</v>
      </c>
      <c r="KI177" t="s">
        <v>1</v>
      </c>
      <c r="KJ177" t="s">
        <v>1</v>
      </c>
      <c r="KK177" t="s">
        <v>1</v>
      </c>
    </row>
    <row r="178" spans="1:297" x14ac:dyDescent="0.2">
      <c r="A178">
        <v>177</v>
      </c>
      <c r="B178" t="s">
        <v>705</v>
      </c>
      <c r="C178" t="s">
        <v>212</v>
      </c>
      <c r="D178" t="s">
        <v>203</v>
      </c>
      <c r="E178">
        <v>28</v>
      </c>
      <c r="F178" t="s">
        <v>204</v>
      </c>
      <c r="G178" t="s">
        <v>1</v>
      </c>
      <c r="H178" s="26" t="s">
        <v>1420</v>
      </c>
      <c r="I178" t="s">
        <v>1</v>
      </c>
      <c r="J178" t="s">
        <v>1</v>
      </c>
      <c r="K178" t="s">
        <v>1</v>
      </c>
      <c r="L178" t="s">
        <v>1</v>
      </c>
      <c r="M178" t="s">
        <v>1</v>
      </c>
      <c r="N178" t="s">
        <v>1</v>
      </c>
      <c r="O178" t="s">
        <v>1</v>
      </c>
      <c r="P178" t="s">
        <v>1</v>
      </c>
      <c r="Q178" t="s">
        <v>1</v>
      </c>
      <c r="R178" t="s">
        <v>1</v>
      </c>
      <c r="S178" t="s">
        <v>1</v>
      </c>
      <c r="T178" t="s">
        <v>1</v>
      </c>
      <c r="U178" t="s">
        <v>1</v>
      </c>
      <c r="V178" t="s">
        <v>1</v>
      </c>
      <c r="W178" t="s">
        <v>1</v>
      </c>
      <c r="X178" t="s">
        <v>1</v>
      </c>
      <c r="Y178" t="s">
        <v>1</v>
      </c>
      <c r="Z178" t="s">
        <v>1</v>
      </c>
      <c r="AA178" t="s">
        <v>1</v>
      </c>
      <c r="AB178" t="s">
        <v>1</v>
      </c>
      <c r="AC178" t="s">
        <v>1</v>
      </c>
      <c r="AD178" t="s">
        <v>1</v>
      </c>
      <c r="AE178" t="s">
        <v>1</v>
      </c>
      <c r="AF178" t="s">
        <v>1</v>
      </c>
      <c r="AG178" t="s">
        <v>1</v>
      </c>
      <c r="AH178" t="s">
        <v>1</v>
      </c>
      <c r="AI178" t="s">
        <v>1</v>
      </c>
      <c r="AJ178" t="s">
        <v>1</v>
      </c>
      <c r="AK178" t="s">
        <v>1</v>
      </c>
      <c r="AL178" t="s">
        <v>1</v>
      </c>
      <c r="AM178" t="s">
        <v>1</v>
      </c>
      <c r="AN178">
        <v>177</v>
      </c>
      <c r="AO178">
        <f t="shared" si="12"/>
        <v>177</v>
      </c>
      <c r="AP178">
        <f t="shared" si="10"/>
        <v>28</v>
      </c>
      <c r="AQ178">
        <f t="shared" si="11"/>
        <v>28</v>
      </c>
      <c r="AR178" s="26" t="s">
        <v>1355</v>
      </c>
      <c r="AS178" s="26" t="s">
        <v>1356</v>
      </c>
      <c r="AT178" t="s">
        <v>714</v>
      </c>
      <c r="AU178" t="s">
        <v>1</v>
      </c>
      <c r="AV178" t="s">
        <v>1</v>
      </c>
      <c r="AW178">
        <v>58.37</v>
      </c>
      <c r="AX178">
        <v>13.48</v>
      </c>
      <c r="AY178" t="s">
        <v>737</v>
      </c>
      <c r="BA178" s="3">
        <v>4</v>
      </c>
      <c r="BB178" s="3"/>
      <c r="BC178" s="3"/>
      <c r="BD178" s="3"/>
      <c r="BE178" s="3"/>
      <c r="BF178">
        <v>2009</v>
      </c>
      <c r="BG178" s="24" t="s">
        <v>733</v>
      </c>
      <c r="BH178" s="24" t="s">
        <v>733</v>
      </c>
      <c r="BI178" s="24" t="s">
        <v>733</v>
      </c>
      <c r="BJ178" s="24" t="s">
        <v>732</v>
      </c>
      <c r="BK178" s="24" t="s">
        <v>733</v>
      </c>
      <c r="BL178" s="25" t="s">
        <v>733</v>
      </c>
      <c r="BM178" s="24" t="s">
        <v>733</v>
      </c>
      <c r="BN178" s="24" t="s">
        <v>732</v>
      </c>
      <c r="BO178" s="24" t="s">
        <v>733</v>
      </c>
      <c r="BP178" s="24" t="s">
        <v>733</v>
      </c>
      <c r="BQ178" s="24" t="s">
        <v>945</v>
      </c>
      <c r="BR178" s="24" t="s">
        <v>945</v>
      </c>
      <c r="BS178" s="25" t="s">
        <v>934</v>
      </c>
      <c r="BT178" s="24" t="s">
        <v>934</v>
      </c>
      <c r="BU178" s="24" t="s">
        <v>934</v>
      </c>
      <c r="BV178" s="24" t="s">
        <v>934</v>
      </c>
      <c r="BW178" s="24" t="s">
        <v>934</v>
      </c>
      <c r="BX178" s="24" t="s">
        <v>934</v>
      </c>
      <c r="BY178" s="25" t="s">
        <v>945</v>
      </c>
      <c r="BZ178" t="s">
        <v>1397</v>
      </c>
      <c r="CB178" t="s">
        <v>1400</v>
      </c>
      <c r="CC178" s="4">
        <v>4158.333333333333</v>
      </c>
      <c r="CD178" s="4"/>
      <c r="CE178" s="4"/>
      <c r="CF178" t="s">
        <v>793</v>
      </c>
      <c r="CG178">
        <v>100</v>
      </c>
      <c r="CH178" t="s">
        <v>805</v>
      </c>
      <c r="CI178" s="28">
        <f t="shared" si="16"/>
        <v>1.5666666666666667</v>
      </c>
      <c r="CJ178" s="10" t="s">
        <v>1442</v>
      </c>
      <c r="CK178" s="9" t="s">
        <v>1</v>
      </c>
      <c r="CL178" s="4" t="s">
        <v>1</v>
      </c>
      <c r="CM178" t="s">
        <v>848</v>
      </c>
      <c r="CN178" s="4">
        <f>78.3</f>
        <v>78.3</v>
      </c>
      <c r="CO178" s="21"/>
      <c r="CP178" s="4" t="s">
        <v>1</v>
      </c>
      <c r="CQ178" s="4" t="s">
        <v>1</v>
      </c>
      <c r="CR178" s="4" t="s">
        <v>1</v>
      </c>
      <c r="CS178" s="4" t="s">
        <v>1</v>
      </c>
      <c r="CT178" s="4" t="s">
        <v>1</v>
      </c>
      <c r="CU178" s="4" t="s">
        <v>1</v>
      </c>
      <c r="CV178" s="37" t="s">
        <v>855</v>
      </c>
      <c r="CW178">
        <v>100</v>
      </c>
      <c r="CX178">
        <v>0</v>
      </c>
      <c r="CY178">
        <v>30</v>
      </c>
      <c r="CZ178" s="26" t="s">
        <v>1358</v>
      </c>
      <c r="DA178" t="s">
        <v>734</v>
      </c>
      <c r="DB178">
        <v>64</v>
      </c>
      <c r="DC178">
        <v>0</v>
      </c>
      <c r="DD178">
        <v>30</v>
      </c>
      <c r="DE178" s="26" t="s">
        <v>1358</v>
      </c>
      <c r="DF178" t="s">
        <v>735</v>
      </c>
      <c r="DG178">
        <v>22</v>
      </c>
      <c r="DH178">
        <v>0</v>
      </c>
      <c r="DI178">
        <v>30</v>
      </c>
      <c r="DJ178" s="26" t="s">
        <v>1358</v>
      </c>
      <c r="DK178" t="s">
        <v>736</v>
      </c>
      <c r="DL178">
        <v>14</v>
      </c>
      <c r="DM178">
        <v>0</v>
      </c>
      <c r="DN178">
        <v>30</v>
      </c>
      <c r="DO178" s="26" t="s">
        <v>1358</v>
      </c>
      <c r="DP178" t="s">
        <v>6</v>
      </c>
      <c r="DQ178" t="s">
        <v>813</v>
      </c>
      <c r="DR178">
        <v>6.4</v>
      </c>
      <c r="DS178">
        <v>0</v>
      </c>
      <c r="DT178">
        <v>30</v>
      </c>
      <c r="DU178" s="26" t="s">
        <v>1358</v>
      </c>
      <c r="EA178" t="s">
        <v>982</v>
      </c>
      <c r="EB178">
        <v>16</v>
      </c>
      <c r="EC178">
        <v>0</v>
      </c>
      <c r="ED178">
        <v>30</v>
      </c>
      <c r="EE178" s="26" t="s">
        <v>1358</v>
      </c>
      <c r="EF178" s="26"/>
      <c r="FZ178" t="s">
        <v>806</v>
      </c>
      <c r="GA178">
        <v>669.41456670000002</v>
      </c>
      <c r="GE178" s="26" t="s">
        <v>1358</v>
      </c>
      <c r="HA178" s="5" t="s">
        <v>1069</v>
      </c>
      <c r="HB178" s="4">
        <v>13</v>
      </c>
      <c r="HC178">
        <v>0</v>
      </c>
      <c r="HD178">
        <v>30</v>
      </c>
      <c r="HE178" s="26" t="s">
        <v>1358</v>
      </c>
      <c r="HF178" s="5" t="s">
        <v>1063</v>
      </c>
      <c r="HG178" s="4">
        <v>1.4000000000000001</v>
      </c>
      <c r="HH178">
        <v>0</v>
      </c>
      <c r="HI178">
        <v>30</v>
      </c>
      <c r="HJ178" s="26" t="s">
        <v>1358</v>
      </c>
      <c r="HK178" t="s">
        <v>1</v>
      </c>
      <c r="HL178" t="s">
        <v>1</v>
      </c>
      <c r="HM178" t="s">
        <v>1</v>
      </c>
      <c r="HN178" t="s">
        <v>1</v>
      </c>
      <c r="HO178" t="s">
        <v>1</v>
      </c>
      <c r="HP178" t="s">
        <v>1</v>
      </c>
      <c r="HZ178" t="s">
        <v>966</v>
      </c>
      <c r="IA178">
        <v>83</v>
      </c>
      <c r="IB178" s="10" t="s">
        <v>1</v>
      </c>
      <c r="IC178" s="10"/>
      <c r="ID178" s="10"/>
      <c r="IE178" s="10" t="s">
        <v>1</v>
      </c>
      <c r="IF178" s="10" t="s">
        <v>1</v>
      </c>
      <c r="IG178" s="10"/>
      <c r="IH178" s="10"/>
      <c r="II178" s="10"/>
      <c r="IJ178" s="10"/>
      <c r="IK178" s="10"/>
      <c r="IL178" s="10"/>
      <c r="IM178" s="10"/>
      <c r="IN178" s="10"/>
      <c r="IO178" s="10"/>
      <c r="IP178" s="10"/>
      <c r="IQ178" s="10"/>
      <c r="IR178" s="10"/>
      <c r="IS178" t="s">
        <v>1</v>
      </c>
      <c r="IT178" t="s">
        <v>1</v>
      </c>
      <c r="IW178" t="s">
        <v>1</v>
      </c>
      <c r="IX178" t="s">
        <v>1</v>
      </c>
      <c r="IY178" t="s">
        <v>1</v>
      </c>
      <c r="IZ178" t="s">
        <v>1</v>
      </c>
      <c r="JA178" t="s">
        <v>1</v>
      </c>
      <c r="JB178" s="3" t="s">
        <v>1</v>
      </c>
      <c r="JC178" t="s">
        <v>1</v>
      </c>
      <c r="JD178" s="4" t="s">
        <v>1</v>
      </c>
      <c r="JE178" t="s">
        <v>1</v>
      </c>
      <c r="JF178" t="s">
        <v>1</v>
      </c>
      <c r="JR178" t="s">
        <v>1066</v>
      </c>
      <c r="JS178">
        <v>181.5</v>
      </c>
      <c r="JU178" t="s">
        <v>1</v>
      </c>
      <c r="JW178" t="s">
        <v>1</v>
      </c>
      <c r="JX178">
        <v>0</v>
      </c>
      <c r="JY178">
        <v>80</v>
      </c>
      <c r="JZ178" t="s">
        <v>800</v>
      </c>
      <c r="KA178" t="s">
        <v>206</v>
      </c>
      <c r="KB178" t="s">
        <v>738</v>
      </c>
      <c r="KC178" t="s">
        <v>1</v>
      </c>
      <c r="KD178" t="s">
        <v>1</v>
      </c>
      <c r="KE178" t="s">
        <v>1</v>
      </c>
      <c r="KF178" t="s">
        <v>1</v>
      </c>
      <c r="KG178" t="s">
        <v>1</v>
      </c>
      <c r="KH178" t="s">
        <v>1</v>
      </c>
      <c r="KI178" t="s">
        <v>1</v>
      </c>
      <c r="KJ178" t="s">
        <v>1</v>
      </c>
      <c r="KK178" t="s">
        <v>1</v>
      </c>
    </row>
    <row r="179" spans="1:297" x14ac:dyDescent="0.2">
      <c r="A179" s="3" t="s">
        <v>860</v>
      </c>
      <c r="B179" t="s">
        <v>705</v>
      </c>
      <c r="C179" t="s">
        <v>887</v>
      </c>
      <c r="D179" t="s">
        <v>690</v>
      </c>
      <c r="E179">
        <v>29</v>
      </c>
      <c r="F179" t="s">
        <v>213</v>
      </c>
      <c r="G179" t="s">
        <v>1</v>
      </c>
      <c r="H179" s="26" t="s">
        <v>1420</v>
      </c>
      <c r="I179" t="s">
        <v>1</v>
      </c>
      <c r="J179" t="s">
        <v>1</v>
      </c>
      <c r="K179" t="s">
        <v>1</v>
      </c>
      <c r="L179" t="s">
        <v>1</v>
      </c>
      <c r="M179" t="s">
        <v>1</v>
      </c>
      <c r="N179" t="s">
        <v>1</v>
      </c>
      <c r="O179" t="s">
        <v>1</v>
      </c>
      <c r="P179" t="s">
        <v>1</v>
      </c>
      <c r="Q179" t="s">
        <v>1</v>
      </c>
      <c r="R179" t="s">
        <v>1</v>
      </c>
      <c r="S179" t="s">
        <v>1</v>
      </c>
      <c r="T179" t="s">
        <v>1</v>
      </c>
      <c r="U179" t="s">
        <v>1</v>
      </c>
      <c r="V179" t="s">
        <v>1</v>
      </c>
      <c r="W179" t="s">
        <v>1</v>
      </c>
      <c r="X179" t="s">
        <v>1</v>
      </c>
      <c r="Y179" t="s">
        <v>1</v>
      </c>
      <c r="Z179" t="s">
        <v>1</v>
      </c>
      <c r="AA179" t="s">
        <v>1</v>
      </c>
      <c r="AB179" t="s">
        <v>1</v>
      </c>
      <c r="AC179" t="s">
        <v>1</v>
      </c>
      <c r="AD179" t="s">
        <v>1</v>
      </c>
      <c r="AE179" t="s">
        <v>1</v>
      </c>
      <c r="AF179" t="s">
        <v>1</v>
      </c>
      <c r="AG179" t="s">
        <v>1</v>
      </c>
      <c r="AH179" t="s">
        <v>1</v>
      </c>
      <c r="AI179" t="s">
        <v>1</v>
      </c>
      <c r="AJ179" t="s">
        <v>1</v>
      </c>
      <c r="AK179" t="s">
        <v>1</v>
      </c>
      <c r="AL179" t="s">
        <v>1</v>
      </c>
      <c r="AM179" t="s">
        <v>1</v>
      </c>
      <c r="AN179" s="3" t="s">
        <v>860</v>
      </c>
      <c r="AO179" t="str">
        <f t="shared" si="12"/>
        <v>180-1</v>
      </c>
      <c r="AP179">
        <f t="shared" si="10"/>
        <v>29</v>
      </c>
      <c r="AQ179">
        <f t="shared" si="11"/>
        <v>29</v>
      </c>
      <c r="AR179" t="s">
        <v>1355</v>
      </c>
      <c r="AS179" t="s">
        <v>1356</v>
      </c>
      <c r="AT179" t="s">
        <v>714</v>
      </c>
      <c r="AU179" t="s">
        <v>1</v>
      </c>
      <c r="AV179" t="s">
        <v>1</v>
      </c>
      <c r="AW179">
        <v>58.37</v>
      </c>
      <c r="AX179">
        <v>13.48</v>
      </c>
      <c r="AY179" t="s">
        <v>737</v>
      </c>
      <c r="AZ179">
        <f>6*30*3/10000</f>
        <v>5.3999999999999999E-2</v>
      </c>
      <c r="BA179" s="3">
        <f>3*2</f>
        <v>6</v>
      </c>
      <c r="BB179" s="10" t="s">
        <v>1355</v>
      </c>
      <c r="BC179" t="s">
        <v>1461</v>
      </c>
      <c r="BD179" s="30">
        <v>38217</v>
      </c>
      <c r="BE179" s="3" t="s">
        <v>932</v>
      </c>
      <c r="BF179" s="30">
        <v>38575</v>
      </c>
      <c r="BG179" s="19" t="s">
        <v>934</v>
      </c>
      <c r="BH179" s="19" t="s">
        <v>934</v>
      </c>
      <c r="BI179" s="19" t="s">
        <v>945</v>
      </c>
      <c r="BJ179" s="19" t="s">
        <v>934</v>
      </c>
      <c r="BK179" s="19" t="s">
        <v>945</v>
      </c>
      <c r="BL179" s="19" t="s">
        <v>945</v>
      </c>
      <c r="BM179" s="19" t="s">
        <v>945</v>
      </c>
      <c r="BN179" s="19" t="s">
        <v>934</v>
      </c>
      <c r="BO179" s="19" t="s">
        <v>945</v>
      </c>
      <c r="BP179" s="19" t="s">
        <v>945</v>
      </c>
      <c r="BQ179" s="24" t="s">
        <v>945</v>
      </c>
      <c r="BR179" s="24" t="s">
        <v>945</v>
      </c>
      <c r="BS179" s="24" t="s">
        <v>934</v>
      </c>
      <c r="BT179" s="24" t="s">
        <v>934</v>
      </c>
      <c r="BU179" s="24" t="s">
        <v>934</v>
      </c>
      <c r="BV179" s="24" t="s">
        <v>934</v>
      </c>
      <c r="BW179" s="24" t="s">
        <v>934</v>
      </c>
      <c r="BX179" s="24" t="s">
        <v>934</v>
      </c>
      <c r="BY179" s="25" t="s">
        <v>945</v>
      </c>
      <c r="BZ179" t="s">
        <v>1388</v>
      </c>
      <c r="CA179" t="s">
        <v>938</v>
      </c>
      <c r="CB179" t="s">
        <v>1</v>
      </c>
      <c r="CC179" s="4">
        <v>4810</v>
      </c>
      <c r="CD179" s="4" t="s">
        <v>1</v>
      </c>
      <c r="CE179" s="4" t="s">
        <v>1</v>
      </c>
      <c r="CF179" t="s">
        <v>793</v>
      </c>
      <c r="CG179">
        <v>100</v>
      </c>
      <c r="CH179" t="s">
        <v>1</v>
      </c>
      <c r="CI179" s="28" t="s">
        <v>1</v>
      </c>
      <c r="CJ179" s="10" t="s">
        <v>1</v>
      </c>
      <c r="CK179" s="9" t="s">
        <v>1</v>
      </c>
      <c r="CL179" s="4" t="s">
        <v>1</v>
      </c>
      <c r="CM179" s="5" t="s">
        <v>1025</v>
      </c>
      <c r="CN179" s="4">
        <v>8</v>
      </c>
      <c r="CO179" s="22" t="s">
        <v>1061</v>
      </c>
      <c r="CP179" s="4" t="s">
        <v>1</v>
      </c>
      <c r="CQ179" s="4" t="s">
        <v>1</v>
      </c>
      <c r="CR179" s="4" t="s">
        <v>1</v>
      </c>
      <c r="CS179" s="4" t="s">
        <v>1</v>
      </c>
      <c r="CT179" s="4" t="s">
        <v>1</v>
      </c>
      <c r="CU179" s="4" t="s">
        <v>1</v>
      </c>
      <c r="CV179" t="s">
        <v>855</v>
      </c>
      <c r="CW179">
        <v>100</v>
      </c>
      <c r="CX179">
        <v>0</v>
      </c>
      <c r="CY179">
        <v>30</v>
      </c>
      <c r="CZ179" t="s">
        <v>1358</v>
      </c>
      <c r="DA179" t="s">
        <v>734</v>
      </c>
      <c r="DB179">
        <v>64</v>
      </c>
      <c r="DC179">
        <v>0</v>
      </c>
      <c r="DD179">
        <v>30</v>
      </c>
      <c r="DE179" t="s">
        <v>1358</v>
      </c>
      <c r="DF179" t="s">
        <v>735</v>
      </c>
      <c r="DG179">
        <v>22</v>
      </c>
      <c r="DH179">
        <v>0</v>
      </c>
      <c r="DI179">
        <v>30</v>
      </c>
      <c r="DJ179" t="s">
        <v>1358</v>
      </c>
      <c r="DK179" t="s">
        <v>736</v>
      </c>
      <c r="DL179">
        <v>14</v>
      </c>
      <c r="DM179">
        <v>0</v>
      </c>
      <c r="DN179">
        <v>30</v>
      </c>
      <c r="DO179" t="s">
        <v>1358</v>
      </c>
      <c r="DP179" t="s">
        <v>6</v>
      </c>
      <c r="DQ179" t="s">
        <v>813</v>
      </c>
      <c r="DR179">
        <v>6.4</v>
      </c>
      <c r="DS179">
        <v>0</v>
      </c>
      <c r="DT179">
        <v>30</v>
      </c>
      <c r="DU179" t="s">
        <v>1358</v>
      </c>
      <c r="DV179" t="s">
        <v>980</v>
      </c>
      <c r="DW179">
        <v>28</v>
      </c>
      <c r="DX179">
        <v>0</v>
      </c>
      <c r="DY179">
        <v>30</v>
      </c>
      <c r="DZ179" t="s">
        <v>1358</v>
      </c>
      <c r="EA179" t="s">
        <v>982</v>
      </c>
      <c r="EB179">
        <v>16</v>
      </c>
      <c r="EC179">
        <v>0</v>
      </c>
      <c r="ED179">
        <v>30</v>
      </c>
      <c r="EE179" t="s">
        <v>1358</v>
      </c>
      <c r="EG179" t="s">
        <v>981</v>
      </c>
      <c r="EH179">
        <f>1000*0.14/100</f>
        <v>1.4</v>
      </c>
      <c r="EI179">
        <v>0</v>
      </c>
      <c r="EJ179">
        <v>30</v>
      </c>
      <c r="EK179" t="s">
        <v>1358</v>
      </c>
      <c r="EL179" t="s">
        <v>734</v>
      </c>
      <c r="EM179">
        <v>71</v>
      </c>
      <c r="EN179">
        <v>30</v>
      </c>
      <c r="EO179">
        <v>60</v>
      </c>
      <c r="EP179" t="s">
        <v>1358</v>
      </c>
      <c r="EQ179" t="s">
        <v>735</v>
      </c>
      <c r="ER179">
        <v>17</v>
      </c>
      <c r="ES179">
        <v>30</v>
      </c>
      <c r="ET179">
        <v>60</v>
      </c>
      <c r="EU179" t="s">
        <v>1358</v>
      </c>
      <c r="EV179" t="s">
        <v>736</v>
      </c>
      <c r="EW179">
        <v>12</v>
      </c>
      <c r="EX179">
        <v>30</v>
      </c>
      <c r="EY179">
        <v>60</v>
      </c>
      <c r="EZ179" t="s">
        <v>1358</v>
      </c>
      <c r="FA179" t="s">
        <v>980</v>
      </c>
      <c r="FB179">
        <v>25</v>
      </c>
      <c r="FC179">
        <v>30</v>
      </c>
      <c r="FD179">
        <v>60</v>
      </c>
      <c r="FE179" t="s">
        <v>1358</v>
      </c>
      <c r="FF179" t="s">
        <v>734</v>
      </c>
      <c r="FG179">
        <f>ROUND(67/((67+20+12.5)/100),2)</f>
        <v>67.34</v>
      </c>
      <c r="FH179">
        <v>60</v>
      </c>
      <c r="FI179">
        <v>90</v>
      </c>
      <c r="FJ179" t="s">
        <v>1358</v>
      </c>
      <c r="FK179" t="s">
        <v>735</v>
      </c>
      <c r="FL179">
        <f>ROUND(20/((67+20+12.5)/100),2)</f>
        <v>20.100000000000001</v>
      </c>
      <c r="FM179">
        <v>60</v>
      </c>
      <c r="FN179">
        <v>90</v>
      </c>
      <c r="FO179" t="s">
        <v>1358</v>
      </c>
      <c r="FP179" t="s">
        <v>736</v>
      </c>
      <c r="FQ179">
        <f>ROUND(12.5/((67+20+12.5)/100),2)</f>
        <v>12.56</v>
      </c>
      <c r="FR179">
        <v>60</v>
      </c>
      <c r="FS179">
        <v>90</v>
      </c>
      <c r="FT179" t="s">
        <v>1358</v>
      </c>
      <c r="FU179" t="s">
        <v>980</v>
      </c>
      <c r="FV179">
        <v>25</v>
      </c>
      <c r="FW179">
        <v>60</v>
      </c>
      <c r="FX179">
        <v>90</v>
      </c>
      <c r="FY179" t="s">
        <v>1358</v>
      </c>
      <c r="FZ179" t="s">
        <v>957</v>
      </c>
      <c r="GA179" t="s">
        <v>958</v>
      </c>
      <c r="GB179" t="s">
        <v>959</v>
      </c>
      <c r="GC179" t="s">
        <v>1</v>
      </c>
      <c r="GD179" t="s">
        <v>1</v>
      </c>
      <c r="GE179" s="26" t="s">
        <v>1358</v>
      </c>
      <c r="GF179" t="s">
        <v>957</v>
      </c>
      <c r="GG179" t="s">
        <v>961</v>
      </c>
      <c r="GH179" t="s">
        <v>960</v>
      </c>
      <c r="GI179" s="20">
        <v>1961</v>
      </c>
      <c r="GJ179" s="20">
        <v>1990</v>
      </c>
      <c r="GK179" s="26" t="s">
        <v>1358</v>
      </c>
      <c r="GL179" t="s">
        <v>953</v>
      </c>
      <c r="GM179" t="s">
        <v>955</v>
      </c>
      <c r="GN179" t="s">
        <v>954</v>
      </c>
      <c r="GO179" s="5" t="s">
        <v>956</v>
      </c>
      <c r="GP179" s="5" t="s">
        <v>1382</v>
      </c>
      <c r="GQ179" s="5" t="s">
        <v>962</v>
      </c>
      <c r="GR179" s="5" t="s">
        <v>963</v>
      </c>
      <c r="GS179" s="5" t="s">
        <v>959</v>
      </c>
      <c r="GT179" s="26" t="s">
        <v>1358</v>
      </c>
      <c r="GU179" s="5" t="s">
        <v>962</v>
      </c>
      <c r="GV179" s="5" t="s">
        <v>964</v>
      </c>
      <c r="GW179" s="5" t="s">
        <v>960</v>
      </c>
      <c r="GX179" s="20">
        <v>1961</v>
      </c>
      <c r="GY179" s="20">
        <v>1990</v>
      </c>
      <c r="GZ179" s="26" t="s">
        <v>1358</v>
      </c>
      <c r="HA179" s="5" t="s">
        <v>1</v>
      </c>
      <c r="HB179" s="5" t="s">
        <v>1</v>
      </c>
      <c r="HC179" s="5" t="s">
        <v>1</v>
      </c>
      <c r="HD179" s="5" t="s">
        <v>1</v>
      </c>
      <c r="HE179" t="s">
        <v>1</v>
      </c>
      <c r="HF179" s="5" t="s">
        <v>1</v>
      </c>
      <c r="HG179" s="5" t="s">
        <v>1</v>
      </c>
      <c r="HH179" s="5" t="s">
        <v>1</v>
      </c>
      <c r="HI179" s="5" t="s">
        <v>1</v>
      </c>
      <c r="HJ179" t="s">
        <v>1</v>
      </c>
      <c r="HK179" t="s">
        <v>1</v>
      </c>
      <c r="HL179" t="s">
        <v>1</v>
      </c>
      <c r="HM179" t="s">
        <v>1</v>
      </c>
      <c r="HN179" t="s">
        <v>1</v>
      </c>
      <c r="HO179" t="s">
        <v>1</v>
      </c>
      <c r="HP179" t="s">
        <v>1</v>
      </c>
      <c r="HQ179" t="s">
        <v>983</v>
      </c>
      <c r="HR179" s="28" t="s">
        <v>1030</v>
      </c>
      <c r="HS179" s="5" t="s">
        <v>1039</v>
      </c>
      <c r="HT179" s="28" t="s">
        <v>1425</v>
      </c>
      <c r="HU179" s="5" t="s">
        <v>842</v>
      </c>
      <c r="HV179" s="5" t="s">
        <v>1358</v>
      </c>
      <c r="HW179" t="s">
        <v>937</v>
      </c>
      <c r="HX179" s="3" t="s">
        <v>1</v>
      </c>
      <c r="HY179" s="3" t="s">
        <v>1</v>
      </c>
      <c r="HZ179" t="s">
        <v>1295</v>
      </c>
      <c r="IA179">
        <v>100</v>
      </c>
      <c r="IB179" s="10" t="s">
        <v>1</v>
      </c>
      <c r="IC179" s="10" t="s">
        <v>1</v>
      </c>
      <c r="ID179" s="10" t="s">
        <v>1</v>
      </c>
      <c r="IE179" s="10" t="s">
        <v>1</v>
      </c>
      <c r="IF179" s="10" t="s">
        <v>1</v>
      </c>
      <c r="IG179" t="s">
        <v>1310</v>
      </c>
      <c r="IH179" s="10">
        <f t="shared" ref="IH179:IH187" si="17">50*2.29</f>
        <v>114.5</v>
      </c>
      <c r="II179" s="10" t="s">
        <v>1</v>
      </c>
      <c r="IJ179" s="10" t="s">
        <v>1</v>
      </c>
      <c r="IK179" t="s">
        <v>1311</v>
      </c>
      <c r="IL179" s="10">
        <f t="shared" ref="IL179:IL187" si="18">60*1.12</f>
        <v>67.2</v>
      </c>
      <c r="IM179" s="10" t="s">
        <v>1</v>
      </c>
      <c r="IN179" s="10" t="s">
        <v>1</v>
      </c>
      <c r="IO179" s="10" t="s">
        <v>1319</v>
      </c>
      <c r="IP179" s="10">
        <v>15</v>
      </c>
      <c r="IQ179" s="10" t="s">
        <v>1</v>
      </c>
      <c r="IR179" s="10" t="s">
        <v>1</v>
      </c>
      <c r="IS179" t="s">
        <v>1</v>
      </c>
      <c r="IT179" t="s">
        <v>1</v>
      </c>
      <c r="IW179" t="s">
        <v>1</v>
      </c>
      <c r="IX179" t="s">
        <v>1</v>
      </c>
      <c r="IY179" t="s">
        <v>1</v>
      </c>
      <c r="IZ179" t="s">
        <v>1</v>
      </c>
      <c r="JA179" t="s">
        <v>1</v>
      </c>
      <c r="JB179" s="3" t="s">
        <v>1</v>
      </c>
      <c r="JC179" t="s">
        <v>1</v>
      </c>
      <c r="JD179" s="4" t="s">
        <v>1</v>
      </c>
      <c r="JE179" t="s">
        <v>810</v>
      </c>
      <c r="JF179">
        <v>100</v>
      </c>
      <c r="JG179" t="s">
        <v>859</v>
      </c>
      <c r="JH179" t="s">
        <v>1387</v>
      </c>
      <c r="JI179" t="s">
        <v>946</v>
      </c>
      <c r="JJ179" t="s">
        <v>1</v>
      </c>
      <c r="JK179" s="31" t="s">
        <v>1</v>
      </c>
      <c r="JL179" t="s">
        <v>947</v>
      </c>
      <c r="JM179" s="31" t="s">
        <v>1</v>
      </c>
      <c r="JN179" t="s">
        <v>1050</v>
      </c>
      <c r="JO179" s="3" t="s">
        <v>1</v>
      </c>
      <c r="JP179" t="s">
        <v>1051</v>
      </c>
      <c r="JQ179" t="s">
        <v>1</v>
      </c>
      <c r="JR179" t="s">
        <v>1066</v>
      </c>
      <c r="JS179" t="s">
        <v>986</v>
      </c>
      <c r="JT179" t="s">
        <v>985</v>
      </c>
      <c r="JU179" t="s">
        <v>1</v>
      </c>
      <c r="JV179" t="s">
        <v>1426</v>
      </c>
      <c r="JW179" t="s">
        <v>842</v>
      </c>
      <c r="JX179">
        <v>0</v>
      </c>
      <c r="JY179">
        <v>80</v>
      </c>
      <c r="JZ179" t="s">
        <v>800</v>
      </c>
      <c r="KA179" t="s">
        <v>206</v>
      </c>
      <c r="KB179" t="s">
        <v>738</v>
      </c>
      <c r="KC179" t="s">
        <v>1</v>
      </c>
      <c r="KD179" t="s">
        <v>1</v>
      </c>
      <c r="KE179" t="s">
        <v>1</v>
      </c>
      <c r="KF179" t="s">
        <v>1</v>
      </c>
      <c r="KG179" t="s">
        <v>1</v>
      </c>
      <c r="KH179" t="s">
        <v>1</v>
      </c>
      <c r="KI179" t="s">
        <v>1</v>
      </c>
      <c r="KJ179" t="s">
        <v>1</v>
      </c>
      <c r="KK179" t="s">
        <v>1</v>
      </c>
    </row>
    <row r="180" spans="1:297" x14ac:dyDescent="0.2">
      <c r="A180" s="3" t="s">
        <v>861</v>
      </c>
      <c r="B180" t="s">
        <v>705</v>
      </c>
      <c r="C180" t="s">
        <v>888</v>
      </c>
      <c r="D180" t="s">
        <v>690</v>
      </c>
      <c r="E180">
        <v>29</v>
      </c>
      <c r="F180" t="s">
        <v>213</v>
      </c>
      <c r="G180" t="s">
        <v>1</v>
      </c>
      <c r="H180" s="26" t="s">
        <v>1420</v>
      </c>
      <c r="I180" t="s">
        <v>1</v>
      </c>
      <c r="J180" t="s">
        <v>1</v>
      </c>
      <c r="K180" t="s">
        <v>1</v>
      </c>
      <c r="L180" t="s">
        <v>1</v>
      </c>
      <c r="M180" t="s">
        <v>1</v>
      </c>
      <c r="N180" t="s">
        <v>1</v>
      </c>
      <c r="O180" t="s">
        <v>1</v>
      </c>
      <c r="P180" t="s">
        <v>1</v>
      </c>
      <c r="Q180" t="s">
        <v>1</v>
      </c>
      <c r="R180" t="s">
        <v>1</v>
      </c>
      <c r="S180" t="s">
        <v>1</v>
      </c>
      <c r="T180" t="s">
        <v>1</v>
      </c>
      <c r="U180" t="s">
        <v>1</v>
      </c>
      <c r="V180" t="s">
        <v>1</v>
      </c>
      <c r="W180" t="s">
        <v>1</v>
      </c>
      <c r="X180" t="s">
        <v>1</v>
      </c>
      <c r="Y180" t="s">
        <v>1</v>
      </c>
      <c r="Z180" t="s">
        <v>1</v>
      </c>
      <c r="AA180" t="s">
        <v>1</v>
      </c>
      <c r="AB180" t="s">
        <v>1</v>
      </c>
      <c r="AC180" t="s">
        <v>1</v>
      </c>
      <c r="AD180" t="s">
        <v>1</v>
      </c>
      <c r="AE180" t="s">
        <v>1</v>
      </c>
      <c r="AF180" t="s">
        <v>1</v>
      </c>
      <c r="AG180" t="s">
        <v>1</v>
      </c>
      <c r="AH180" t="s">
        <v>1</v>
      </c>
      <c r="AI180" t="s">
        <v>1</v>
      </c>
      <c r="AJ180" t="s">
        <v>1</v>
      </c>
      <c r="AK180" t="s">
        <v>1</v>
      </c>
      <c r="AL180" t="s">
        <v>1</v>
      </c>
      <c r="AM180" t="s">
        <v>1</v>
      </c>
      <c r="AN180" s="3" t="s">
        <v>861</v>
      </c>
      <c r="AO180" t="str">
        <f t="shared" si="12"/>
        <v>180-2</v>
      </c>
      <c r="AP180">
        <f t="shared" si="10"/>
        <v>29</v>
      </c>
      <c r="AQ180">
        <f t="shared" si="11"/>
        <v>29</v>
      </c>
      <c r="AR180" t="s">
        <v>1355</v>
      </c>
      <c r="AS180" t="s">
        <v>1356</v>
      </c>
      <c r="AT180" t="s">
        <v>714</v>
      </c>
      <c r="AU180" t="s">
        <v>1</v>
      </c>
      <c r="AV180" t="s">
        <v>1</v>
      </c>
      <c r="AW180">
        <v>58.37</v>
      </c>
      <c r="AX180">
        <v>13.48</v>
      </c>
      <c r="AY180" t="s">
        <v>737</v>
      </c>
      <c r="AZ180">
        <f t="shared" ref="AZ180:AZ214" si="19">6*30*3/10000</f>
        <v>5.3999999999999999E-2</v>
      </c>
      <c r="BA180" s="3">
        <f t="shared" ref="BA180:BA214" si="20">3*2</f>
        <v>6</v>
      </c>
      <c r="BB180" s="10" t="s">
        <v>1355</v>
      </c>
      <c r="BC180" t="s">
        <v>1461</v>
      </c>
      <c r="BD180" s="30">
        <v>38217</v>
      </c>
      <c r="BE180" s="3" t="s">
        <v>932</v>
      </c>
      <c r="BF180" s="30">
        <v>38575</v>
      </c>
      <c r="BG180" s="19" t="s">
        <v>934</v>
      </c>
      <c r="BH180" s="19" t="s">
        <v>934</v>
      </c>
      <c r="BI180" s="19" t="s">
        <v>945</v>
      </c>
      <c r="BJ180" s="19" t="s">
        <v>934</v>
      </c>
      <c r="BK180" s="19" t="s">
        <v>945</v>
      </c>
      <c r="BL180" s="19" t="s">
        <v>934</v>
      </c>
      <c r="BM180" s="19" t="s">
        <v>945</v>
      </c>
      <c r="BN180" s="19" t="s">
        <v>934</v>
      </c>
      <c r="BO180" s="19" t="s">
        <v>945</v>
      </c>
      <c r="BP180" s="19" t="s">
        <v>945</v>
      </c>
      <c r="BQ180" s="24" t="s">
        <v>945</v>
      </c>
      <c r="BR180" s="24" t="s">
        <v>945</v>
      </c>
      <c r="BS180" s="24" t="s">
        <v>934</v>
      </c>
      <c r="BT180" s="24" t="s">
        <v>934</v>
      </c>
      <c r="BU180" s="24" t="s">
        <v>934</v>
      </c>
      <c r="BV180" s="24" t="s">
        <v>934</v>
      </c>
      <c r="BW180" s="24" t="s">
        <v>934</v>
      </c>
      <c r="BX180" s="24" t="s">
        <v>934</v>
      </c>
      <c r="BY180" s="25" t="s">
        <v>945</v>
      </c>
      <c r="BZ180" t="s">
        <v>1391</v>
      </c>
      <c r="CA180" t="s">
        <v>939</v>
      </c>
      <c r="CB180" t="s">
        <v>1</v>
      </c>
      <c r="CC180" s="4">
        <v>3950</v>
      </c>
      <c r="CD180" s="4" t="s">
        <v>1</v>
      </c>
      <c r="CE180" s="4" t="s">
        <v>1</v>
      </c>
      <c r="CF180" t="s">
        <v>793</v>
      </c>
      <c r="CG180">
        <v>100</v>
      </c>
      <c r="CH180" t="s">
        <v>1</v>
      </c>
      <c r="CI180" s="28" t="s">
        <v>1</v>
      </c>
      <c r="CJ180" s="10" t="s">
        <v>1</v>
      </c>
      <c r="CK180" s="9" t="s">
        <v>1</v>
      </c>
      <c r="CL180" s="4" t="s">
        <v>1</v>
      </c>
      <c r="CM180" s="5" t="s">
        <v>1025</v>
      </c>
      <c r="CN180" s="4">
        <v>8</v>
      </c>
      <c r="CO180" s="22" t="s">
        <v>1061</v>
      </c>
      <c r="CP180" s="4" t="s">
        <v>1</v>
      </c>
      <c r="CQ180" s="4" t="s">
        <v>1</v>
      </c>
      <c r="CR180" s="4" t="s">
        <v>1</v>
      </c>
      <c r="CS180" s="4" t="s">
        <v>1</v>
      </c>
      <c r="CT180" s="4" t="s">
        <v>1</v>
      </c>
      <c r="CU180" s="4" t="s">
        <v>1</v>
      </c>
      <c r="CV180" t="s">
        <v>855</v>
      </c>
      <c r="CW180">
        <v>100</v>
      </c>
      <c r="CX180">
        <v>0</v>
      </c>
      <c r="CY180">
        <v>30</v>
      </c>
      <c r="CZ180" t="s">
        <v>1358</v>
      </c>
      <c r="DA180" t="s">
        <v>734</v>
      </c>
      <c r="DB180">
        <v>64</v>
      </c>
      <c r="DC180">
        <v>0</v>
      </c>
      <c r="DD180">
        <v>30</v>
      </c>
      <c r="DE180" t="s">
        <v>1358</v>
      </c>
      <c r="DF180" t="s">
        <v>735</v>
      </c>
      <c r="DG180">
        <v>22</v>
      </c>
      <c r="DH180">
        <v>0</v>
      </c>
      <c r="DI180">
        <v>30</v>
      </c>
      <c r="DJ180" t="s">
        <v>1358</v>
      </c>
      <c r="DK180" t="s">
        <v>736</v>
      </c>
      <c r="DL180">
        <v>14</v>
      </c>
      <c r="DM180">
        <v>0</v>
      </c>
      <c r="DN180">
        <v>30</v>
      </c>
      <c r="DO180" t="s">
        <v>1358</v>
      </c>
      <c r="DP180" t="s">
        <v>6</v>
      </c>
      <c r="DQ180" t="s">
        <v>813</v>
      </c>
      <c r="DR180">
        <v>6.4</v>
      </c>
      <c r="DS180">
        <v>0</v>
      </c>
      <c r="DT180">
        <v>30</v>
      </c>
      <c r="DU180" t="s">
        <v>1358</v>
      </c>
      <c r="DV180" t="s">
        <v>980</v>
      </c>
      <c r="DW180">
        <v>28</v>
      </c>
      <c r="DX180">
        <v>0</v>
      </c>
      <c r="DY180">
        <v>30</v>
      </c>
      <c r="DZ180" t="s">
        <v>1358</v>
      </c>
      <c r="EA180" t="s">
        <v>982</v>
      </c>
      <c r="EB180">
        <v>16</v>
      </c>
      <c r="EC180">
        <v>0</v>
      </c>
      <c r="ED180">
        <v>30</v>
      </c>
      <c r="EE180" t="s">
        <v>1358</v>
      </c>
      <c r="EG180" t="s">
        <v>981</v>
      </c>
      <c r="EH180">
        <f t="shared" ref="EH180:EH214" si="21">1000*0.14/100</f>
        <v>1.4</v>
      </c>
      <c r="EI180">
        <v>0</v>
      </c>
      <c r="EJ180">
        <v>30</v>
      </c>
      <c r="EK180" t="s">
        <v>1358</v>
      </c>
      <c r="EL180" t="s">
        <v>734</v>
      </c>
      <c r="EM180">
        <v>71</v>
      </c>
      <c r="EN180">
        <v>30</v>
      </c>
      <c r="EO180">
        <v>60</v>
      </c>
      <c r="EP180" t="s">
        <v>1358</v>
      </c>
      <c r="EQ180" t="s">
        <v>735</v>
      </c>
      <c r="ER180">
        <v>17</v>
      </c>
      <c r="ES180">
        <v>30</v>
      </c>
      <c r="ET180">
        <v>60</v>
      </c>
      <c r="EU180" t="s">
        <v>1358</v>
      </c>
      <c r="EV180" t="s">
        <v>736</v>
      </c>
      <c r="EW180">
        <v>12</v>
      </c>
      <c r="EX180">
        <v>30</v>
      </c>
      <c r="EY180">
        <v>60</v>
      </c>
      <c r="EZ180" t="s">
        <v>1358</v>
      </c>
      <c r="FA180" t="s">
        <v>980</v>
      </c>
      <c r="FB180">
        <v>25</v>
      </c>
      <c r="FC180">
        <v>30</v>
      </c>
      <c r="FD180">
        <v>60</v>
      </c>
      <c r="FE180" t="s">
        <v>1358</v>
      </c>
      <c r="FF180" t="s">
        <v>734</v>
      </c>
      <c r="FG180">
        <f t="shared" ref="FG180:FG214" si="22">ROUND(67/((67+20+12.5)/100),2)</f>
        <v>67.34</v>
      </c>
      <c r="FH180">
        <v>60</v>
      </c>
      <c r="FI180">
        <v>90</v>
      </c>
      <c r="FJ180" t="s">
        <v>1358</v>
      </c>
      <c r="FK180" t="s">
        <v>735</v>
      </c>
      <c r="FL180">
        <f t="shared" ref="FL180:FL214" si="23">ROUND(20/((67+20+12.5)/100),2)</f>
        <v>20.100000000000001</v>
      </c>
      <c r="FM180">
        <v>60</v>
      </c>
      <c r="FN180">
        <v>90</v>
      </c>
      <c r="FO180" t="s">
        <v>1358</v>
      </c>
      <c r="FP180" t="s">
        <v>736</v>
      </c>
      <c r="FQ180">
        <f t="shared" ref="FQ180:FQ214" si="24">ROUND(12.5/((67+20+12.5)/100),2)</f>
        <v>12.56</v>
      </c>
      <c r="FR180">
        <v>60</v>
      </c>
      <c r="FS180">
        <v>90</v>
      </c>
      <c r="FT180" t="s">
        <v>1358</v>
      </c>
      <c r="FU180" t="s">
        <v>980</v>
      </c>
      <c r="FV180">
        <v>25</v>
      </c>
      <c r="FW180">
        <v>60</v>
      </c>
      <c r="FX180">
        <v>90</v>
      </c>
      <c r="FY180" t="s">
        <v>1358</v>
      </c>
      <c r="FZ180" t="s">
        <v>957</v>
      </c>
      <c r="GA180" t="s">
        <v>958</v>
      </c>
      <c r="GB180" t="s">
        <v>959</v>
      </c>
      <c r="GC180" t="s">
        <v>1</v>
      </c>
      <c r="GD180" t="s">
        <v>1</v>
      </c>
      <c r="GE180" s="26" t="s">
        <v>1358</v>
      </c>
      <c r="GF180" t="s">
        <v>957</v>
      </c>
      <c r="GG180" t="s">
        <v>961</v>
      </c>
      <c r="GH180" t="s">
        <v>960</v>
      </c>
      <c r="GI180" s="20">
        <v>1961</v>
      </c>
      <c r="GJ180" s="20">
        <v>1990</v>
      </c>
      <c r="GK180" s="26" t="s">
        <v>1358</v>
      </c>
      <c r="GL180" t="s">
        <v>953</v>
      </c>
      <c r="GM180" t="s">
        <v>955</v>
      </c>
      <c r="GN180" t="s">
        <v>954</v>
      </c>
      <c r="GO180" s="5" t="s">
        <v>956</v>
      </c>
      <c r="GP180" s="5" t="s">
        <v>1382</v>
      </c>
      <c r="GQ180" s="5" t="s">
        <v>962</v>
      </c>
      <c r="GR180" s="5" t="s">
        <v>963</v>
      </c>
      <c r="GS180" s="5" t="s">
        <v>959</v>
      </c>
      <c r="GT180" s="26" t="s">
        <v>1358</v>
      </c>
      <c r="GU180" s="5" t="s">
        <v>962</v>
      </c>
      <c r="GV180" s="5" t="s">
        <v>964</v>
      </c>
      <c r="GW180" s="5" t="s">
        <v>960</v>
      </c>
      <c r="GX180" s="20">
        <v>1961</v>
      </c>
      <c r="GY180" s="20">
        <v>1990</v>
      </c>
      <c r="GZ180" s="26" t="s">
        <v>1358</v>
      </c>
      <c r="HA180" s="5" t="s">
        <v>1</v>
      </c>
      <c r="HB180" s="5" t="s">
        <v>1</v>
      </c>
      <c r="HC180" s="5" t="s">
        <v>1</v>
      </c>
      <c r="HD180" s="5" t="s">
        <v>1</v>
      </c>
      <c r="HE180" t="s">
        <v>1</v>
      </c>
      <c r="HF180" s="5" t="s">
        <v>1</v>
      </c>
      <c r="HG180" s="5" t="s">
        <v>1</v>
      </c>
      <c r="HH180" s="5" t="s">
        <v>1</v>
      </c>
      <c r="HI180" s="5" t="s">
        <v>1</v>
      </c>
      <c r="HJ180" t="s">
        <v>1</v>
      </c>
      <c r="HK180" t="s">
        <v>1</v>
      </c>
      <c r="HL180" t="s">
        <v>1</v>
      </c>
      <c r="HM180" t="s">
        <v>1</v>
      </c>
      <c r="HN180" t="s">
        <v>1</v>
      </c>
      <c r="HO180" t="s">
        <v>1</v>
      </c>
      <c r="HP180" t="s">
        <v>1</v>
      </c>
      <c r="HQ180" t="s">
        <v>983</v>
      </c>
      <c r="HR180" s="28" t="s">
        <v>1031</v>
      </c>
      <c r="HS180" s="5" t="s">
        <v>1039</v>
      </c>
      <c r="HT180" s="28" t="s">
        <v>1425</v>
      </c>
      <c r="HU180" s="5" t="s">
        <v>842</v>
      </c>
      <c r="HV180" s="5" t="s">
        <v>1358</v>
      </c>
      <c r="HW180" t="s">
        <v>937</v>
      </c>
      <c r="HX180" s="3" t="s">
        <v>1</v>
      </c>
      <c r="HY180" s="3" t="s">
        <v>1</v>
      </c>
      <c r="HZ180" t="s">
        <v>1</v>
      </c>
      <c r="IA180" t="s">
        <v>1</v>
      </c>
      <c r="IB180" s="10" t="s">
        <v>1</v>
      </c>
      <c r="IC180" s="10" t="s">
        <v>1</v>
      </c>
      <c r="ID180" s="10" t="s">
        <v>1</v>
      </c>
      <c r="IE180" s="10" t="s">
        <v>1</v>
      </c>
      <c r="IF180" s="10" t="s">
        <v>1</v>
      </c>
      <c r="IG180" t="s">
        <v>1310</v>
      </c>
      <c r="IH180" s="10">
        <f t="shared" si="17"/>
        <v>114.5</v>
      </c>
      <c r="II180" s="10" t="s">
        <v>1</v>
      </c>
      <c r="IJ180" s="10" t="s">
        <v>1</v>
      </c>
      <c r="IK180" t="s">
        <v>1311</v>
      </c>
      <c r="IL180" s="10">
        <f t="shared" si="18"/>
        <v>67.2</v>
      </c>
      <c r="IM180" s="10" t="s">
        <v>1</v>
      </c>
      <c r="IN180" s="10" t="s">
        <v>1</v>
      </c>
      <c r="IO180" s="10" t="s">
        <v>1319</v>
      </c>
      <c r="IP180" s="10">
        <v>15</v>
      </c>
      <c r="IQ180" s="10" t="s">
        <v>1</v>
      </c>
      <c r="IR180" s="10" t="s">
        <v>1</v>
      </c>
      <c r="IS180" t="s">
        <v>1</v>
      </c>
      <c r="IT180" t="s">
        <v>1</v>
      </c>
      <c r="IW180" t="s">
        <v>1</v>
      </c>
      <c r="IX180" t="s">
        <v>1</v>
      </c>
      <c r="IY180" t="s">
        <v>1</v>
      </c>
      <c r="IZ180" t="s">
        <v>1</v>
      </c>
      <c r="JA180" t="s">
        <v>1</v>
      </c>
      <c r="JB180" s="3" t="s">
        <v>1</v>
      </c>
      <c r="JC180" t="s">
        <v>1</v>
      </c>
      <c r="JD180" s="4" t="s">
        <v>1</v>
      </c>
      <c r="JE180" t="s">
        <v>810</v>
      </c>
      <c r="JF180">
        <v>100</v>
      </c>
      <c r="JG180" t="s">
        <v>859</v>
      </c>
      <c r="JH180" t="s">
        <v>1387</v>
      </c>
      <c r="JI180" t="s">
        <v>946</v>
      </c>
      <c r="JJ180" t="s">
        <v>1</v>
      </c>
      <c r="JK180" s="31" t="s">
        <v>1</v>
      </c>
      <c r="JL180" t="s">
        <v>947</v>
      </c>
      <c r="JM180" s="31" t="s">
        <v>1</v>
      </c>
      <c r="JN180" t="s">
        <v>1050</v>
      </c>
      <c r="JO180" s="3" t="s">
        <v>1</v>
      </c>
      <c r="JP180" t="s">
        <v>1051</v>
      </c>
      <c r="JQ180" s="31" t="s">
        <v>1</v>
      </c>
      <c r="JR180" t="s">
        <v>1066</v>
      </c>
      <c r="JS180" t="s">
        <v>987</v>
      </c>
      <c r="JT180" t="s">
        <v>985</v>
      </c>
      <c r="JU180" t="s">
        <v>1</v>
      </c>
      <c r="JV180" t="s">
        <v>1426</v>
      </c>
      <c r="JW180" t="s">
        <v>842</v>
      </c>
      <c r="JX180">
        <v>0</v>
      </c>
      <c r="JY180">
        <v>80</v>
      </c>
      <c r="JZ180" t="s">
        <v>800</v>
      </c>
      <c r="KA180" t="s">
        <v>206</v>
      </c>
      <c r="KB180" t="s">
        <v>738</v>
      </c>
      <c r="KC180" t="s">
        <v>1</v>
      </c>
      <c r="KD180" t="s">
        <v>1</v>
      </c>
      <c r="KE180" t="s">
        <v>1</v>
      </c>
      <c r="KF180" t="s">
        <v>1</v>
      </c>
      <c r="KG180" t="s">
        <v>1</v>
      </c>
      <c r="KH180" t="s">
        <v>1</v>
      </c>
      <c r="KI180" t="s">
        <v>1</v>
      </c>
      <c r="KJ180" t="s">
        <v>1</v>
      </c>
      <c r="KK180" t="s">
        <v>1</v>
      </c>
    </row>
    <row r="181" spans="1:297" x14ac:dyDescent="0.2">
      <c r="A181" s="3" t="s">
        <v>862</v>
      </c>
      <c r="B181" t="s">
        <v>705</v>
      </c>
      <c r="C181" t="s">
        <v>889</v>
      </c>
      <c r="D181" t="s">
        <v>690</v>
      </c>
      <c r="E181">
        <v>29</v>
      </c>
      <c r="F181" t="s">
        <v>213</v>
      </c>
      <c r="G181" t="s">
        <v>1</v>
      </c>
      <c r="H181" s="26" t="s">
        <v>1420</v>
      </c>
      <c r="I181" t="s">
        <v>1</v>
      </c>
      <c r="J181" t="s">
        <v>1</v>
      </c>
      <c r="K181" t="s">
        <v>1</v>
      </c>
      <c r="L181" t="s">
        <v>1</v>
      </c>
      <c r="M181" t="s">
        <v>1</v>
      </c>
      <c r="N181" t="s">
        <v>1</v>
      </c>
      <c r="O181" t="s">
        <v>1</v>
      </c>
      <c r="P181" t="s">
        <v>1</v>
      </c>
      <c r="Q181" t="s">
        <v>1</v>
      </c>
      <c r="R181" t="s">
        <v>1</v>
      </c>
      <c r="S181" t="s">
        <v>1</v>
      </c>
      <c r="T181" t="s">
        <v>1</v>
      </c>
      <c r="U181" t="s">
        <v>1</v>
      </c>
      <c r="V181" t="s">
        <v>1</v>
      </c>
      <c r="W181" t="s">
        <v>1</v>
      </c>
      <c r="X181" t="s">
        <v>1</v>
      </c>
      <c r="Y181" t="s">
        <v>1</v>
      </c>
      <c r="Z181" t="s">
        <v>1</v>
      </c>
      <c r="AA181" t="s">
        <v>1</v>
      </c>
      <c r="AB181" t="s">
        <v>1</v>
      </c>
      <c r="AC181" t="s">
        <v>1</v>
      </c>
      <c r="AD181" t="s">
        <v>1</v>
      </c>
      <c r="AE181" t="s">
        <v>1</v>
      </c>
      <c r="AF181" t="s">
        <v>1</v>
      </c>
      <c r="AG181" t="s">
        <v>1</v>
      </c>
      <c r="AH181" t="s">
        <v>1</v>
      </c>
      <c r="AI181" t="s">
        <v>1</v>
      </c>
      <c r="AJ181" t="s">
        <v>1</v>
      </c>
      <c r="AK181" t="s">
        <v>1</v>
      </c>
      <c r="AL181" t="s">
        <v>1</v>
      </c>
      <c r="AM181" t="s">
        <v>1</v>
      </c>
      <c r="AN181" s="3" t="s">
        <v>862</v>
      </c>
      <c r="AO181" t="str">
        <f t="shared" si="12"/>
        <v>180-3</v>
      </c>
      <c r="AP181">
        <f t="shared" si="10"/>
        <v>29</v>
      </c>
      <c r="AQ181">
        <f t="shared" si="11"/>
        <v>29</v>
      </c>
      <c r="AR181" t="s">
        <v>1355</v>
      </c>
      <c r="AS181" t="s">
        <v>1356</v>
      </c>
      <c r="AT181" t="s">
        <v>714</v>
      </c>
      <c r="AU181" t="s">
        <v>1</v>
      </c>
      <c r="AV181" t="s">
        <v>1</v>
      </c>
      <c r="AW181">
        <v>58.37</v>
      </c>
      <c r="AX181">
        <v>13.48</v>
      </c>
      <c r="AY181" t="s">
        <v>737</v>
      </c>
      <c r="AZ181">
        <f t="shared" si="19"/>
        <v>5.3999999999999999E-2</v>
      </c>
      <c r="BA181" s="3">
        <f t="shared" si="20"/>
        <v>6</v>
      </c>
      <c r="BB181" s="10" t="s">
        <v>1355</v>
      </c>
      <c r="BC181" t="s">
        <v>1461</v>
      </c>
      <c r="BD181" s="30">
        <v>38217</v>
      </c>
      <c r="BE181" s="3" t="s">
        <v>932</v>
      </c>
      <c r="BF181" s="30">
        <v>38575</v>
      </c>
      <c r="BG181" s="19" t="s">
        <v>934</v>
      </c>
      <c r="BH181" s="19" t="s">
        <v>934</v>
      </c>
      <c r="BI181" s="19" t="s">
        <v>945</v>
      </c>
      <c r="BJ181" s="19" t="s">
        <v>934</v>
      </c>
      <c r="BK181" s="19" t="s">
        <v>945</v>
      </c>
      <c r="BL181" s="19" t="s">
        <v>934</v>
      </c>
      <c r="BM181" s="19" t="s">
        <v>945</v>
      </c>
      <c r="BN181" s="19" t="s">
        <v>934</v>
      </c>
      <c r="BO181" s="19" t="s">
        <v>945</v>
      </c>
      <c r="BP181" s="19" t="s">
        <v>945</v>
      </c>
      <c r="BQ181" s="24" t="s">
        <v>945</v>
      </c>
      <c r="BR181" s="24" t="s">
        <v>945</v>
      </c>
      <c r="BS181" s="24" t="s">
        <v>934</v>
      </c>
      <c r="BT181" s="24" t="s">
        <v>934</v>
      </c>
      <c r="BU181" s="24" t="s">
        <v>934</v>
      </c>
      <c r="BV181" s="24" t="s">
        <v>934</v>
      </c>
      <c r="BW181" s="24" t="s">
        <v>934</v>
      </c>
      <c r="BX181" s="24" t="s">
        <v>934</v>
      </c>
      <c r="BY181" s="25" t="s">
        <v>945</v>
      </c>
      <c r="BZ181" t="s">
        <v>1391</v>
      </c>
      <c r="CA181" t="s">
        <v>939</v>
      </c>
      <c r="CB181" t="s">
        <v>1</v>
      </c>
      <c r="CC181" s="4">
        <v>3950</v>
      </c>
      <c r="CD181" s="4" t="s">
        <v>1</v>
      </c>
      <c r="CE181" s="4" t="s">
        <v>1</v>
      </c>
      <c r="CF181" t="s">
        <v>793</v>
      </c>
      <c r="CG181">
        <v>100</v>
      </c>
      <c r="CH181" t="s">
        <v>1</v>
      </c>
      <c r="CI181" s="28" t="s">
        <v>1</v>
      </c>
      <c r="CJ181" s="10" t="s">
        <v>1</v>
      </c>
      <c r="CK181" s="9" t="s">
        <v>1</v>
      </c>
      <c r="CL181" s="4" t="s">
        <v>1</v>
      </c>
      <c r="CM181" s="5" t="s">
        <v>1025</v>
      </c>
      <c r="CN181" s="4">
        <v>8</v>
      </c>
      <c r="CO181" s="22" t="s">
        <v>1061</v>
      </c>
      <c r="CP181" s="4" t="s">
        <v>1</v>
      </c>
      <c r="CQ181" s="4" t="s">
        <v>1</v>
      </c>
      <c r="CR181" s="4" t="s">
        <v>1</v>
      </c>
      <c r="CS181" s="4" t="s">
        <v>1</v>
      </c>
      <c r="CT181" s="4" t="s">
        <v>1</v>
      </c>
      <c r="CU181" s="4" t="s">
        <v>1</v>
      </c>
      <c r="CV181" t="s">
        <v>855</v>
      </c>
      <c r="CW181">
        <v>100</v>
      </c>
      <c r="CX181">
        <v>0</v>
      </c>
      <c r="CY181">
        <v>30</v>
      </c>
      <c r="CZ181" t="s">
        <v>1358</v>
      </c>
      <c r="DA181" t="s">
        <v>734</v>
      </c>
      <c r="DB181">
        <v>64</v>
      </c>
      <c r="DC181">
        <v>0</v>
      </c>
      <c r="DD181">
        <v>30</v>
      </c>
      <c r="DE181" t="s">
        <v>1358</v>
      </c>
      <c r="DF181" t="s">
        <v>735</v>
      </c>
      <c r="DG181">
        <v>22</v>
      </c>
      <c r="DH181">
        <v>0</v>
      </c>
      <c r="DI181">
        <v>30</v>
      </c>
      <c r="DJ181" t="s">
        <v>1358</v>
      </c>
      <c r="DK181" t="s">
        <v>736</v>
      </c>
      <c r="DL181">
        <v>14</v>
      </c>
      <c r="DM181">
        <v>0</v>
      </c>
      <c r="DN181">
        <v>30</v>
      </c>
      <c r="DO181" t="s">
        <v>1358</v>
      </c>
      <c r="DP181" t="s">
        <v>6</v>
      </c>
      <c r="DQ181" t="s">
        <v>813</v>
      </c>
      <c r="DR181">
        <v>6.4</v>
      </c>
      <c r="DS181">
        <v>0</v>
      </c>
      <c r="DT181">
        <v>30</v>
      </c>
      <c r="DU181" t="s">
        <v>1358</v>
      </c>
      <c r="DV181" t="s">
        <v>980</v>
      </c>
      <c r="DW181">
        <v>28</v>
      </c>
      <c r="DX181">
        <v>0</v>
      </c>
      <c r="DY181">
        <v>30</v>
      </c>
      <c r="DZ181" t="s">
        <v>1358</v>
      </c>
      <c r="EA181" t="s">
        <v>982</v>
      </c>
      <c r="EB181">
        <v>16</v>
      </c>
      <c r="EC181">
        <v>0</v>
      </c>
      <c r="ED181">
        <v>30</v>
      </c>
      <c r="EE181" t="s">
        <v>1358</v>
      </c>
      <c r="EG181" t="s">
        <v>981</v>
      </c>
      <c r="EH181">
        <f t="shared" si="21"/>
        <v>1.4</v>
      </c>
      <c r="EI181">
        <v>0</v>
      </c>
      <c r="EJ181">
        <v>30</v>
      </c>
      <c r="EK181" t="s">
        <v>1358</v>
      </c>
      <c r="EL181" t="s">
        <v>734</v>
      </c>
      <c r="EM181">
        <v>71</v>
      </c>
      <c r="EN181">
        <v>30</v>
      </c>
      <c r="EO181">
        <v>60</v>
      </c>
      <c r="EP181" t="s">
        <v>1358</v>
      </c>
      <c r="EQ181" t="s">
        <v>735</v>
      </c>
      <c r="ER181">
        <v>17</v>
      </c>
      <c r="ES181">
        <v>30</v>
      </c>
      <c r="ET181">
        <v>60</v>
      </c>
      <c r="EU181" t="s">
        <v>1358</v>
      </c>
      <c r="EV181" t="s">
        <v>736</v>
      </c>
      <c r="EW181">
        <v>12</v>
      </c>
      <c r="EX181">
        <v>30</v>
      </c>
      <c r="EY181">
        <v>60</v>
      </c>
      <c r="EZ181" t="s">
        <v>1358</v>
      </c>
      <c r="FA181" t="s">
        <v>980</v>
      </c>
      <c r="FB181">
        <v>25</v>
      </c>
      <c r="FC181">
        <v>30</v>
      </c>
      <c r="FD181">
        <v>60</v>
      </c>
      <c r="FE181" t="s">
        <v>1358</v>
      </c>
      <c r="FF181" t="s">
        <v>734</v>
      </c>
      <c r="FG181">
        <f t="shared" si="22"/>
        <v>67.34</v>
      </c>
      <c r="FH181">
        <v>60</v>
      </c>
      <c r="FI181">
        <v>90</v>
      </c>
      <c r="FJ181" t="s">
        <v>1358</v>
      </c>
      <c r="FK181" t="s">
        <v>735</v>
      </c>
      <c r="FL181">
        <f t="shared" si="23"/>
        <v>20.100000000000001</v>
      </c>
      <c r="FM181">
        <v>60</v>
      </c>
      <c r="FN181">
        <v>90</v>
      </c>
      <c r="FO181" t="s">
        <v>1358</v>
      </c>
      <c r="FP181" t="s">
        <v>736</v>
      </c>
      <c r="FQ181">
        <f t="shared" si="24"/>
        <v>12.56</v>
      </c>
      <c r="FR181">
        <v>60</v>
      </c>
      <c r="FS181">
        <v>90</v>
      </c>
      <c r="FT181" t="s">
        <v>1358</v>
      </c>
      <c r="FU181" t="s">
        <v>980</v>
      </c>
      <c r="FV181">
        <v>25</v>
      </c>
      <c r="FW181">
        <v>60</v>
      </c>
      <c r="FX181">
        <v>90</v>
      </c>
      <c r="FY181" t="s">
        <v>1358</v>
      </c>
      <c r="FZ181" t="s">
        <v>957</v>
      </c>
      <c r="GA181" t="s">
        <v>958</v>
      </c>
      <c r="GB181" t="s">
        <v>959</v>
      </c>
      <c r="GC181" t="s">
        <v>1</v>
      </c>
      <c r="GD181" t="s">
        <v>1</v>
      </c>
      <c r="GE181" s="26" t="s">
        <v>1358</v>
      </c>
      <c r="GF181" t="s">
        <v>957</v>
      </c>
      <c r="GG181" t="s">
        <v>961</v>
      </c>
      <c r="GH181" t="s">
        <v>960</v>
      </c>
      <c r="GI181" s="20">
        <v>1961</v>
      </c>
      <c r="GJ181" s="20">
        <v>1990</v>
      </c>
      <c r="GK181" s="26" t="s">
        <v>1358</v>
      </c>
      <c r="GL181" t="s">
        <v>953</v>
      </c>
      <c r="GM181" t="s">
        <v>955</v>
      </c>
      <c r="GN181" t="s">
        <v>954</v>
      </c>
      <c r="GO181" s="5" t="s">
        <v>956</v>
      </c>
      <c r="GP181" s="5" t="s">
        <v>1382</v>
      </c>
      <c r="GQ181" s="5" t="s">
        <v>962</v>
      </c>
      <c r="GR181" s="5" t="s">
        <v>963</v>
      </c>
      <c r="GS181" s="5" t="s">
        <v>959</v>
      </c>
      <c r="GT181" s="26" t="s">
        <v>1358</v>
      </c>
      <c r="GU181" s="5" t="s">
        <v>962</v>
      </c>
      <c r="GV181" s="5" t="s">
        <v>964</v>
      </c>
      <c r="GW181" s="5" t="s">
        <v>960</v>
      </c>
      <c r="GX181" s="20">
        <v>1961</v>
      </c>
      <c r="GY181" s="20">
        <v>1990</v>
      </c>
      <c r="GZ181" s="26" t="s">
        <v>1358</v>
      </c>
      <c r="HA181" s="5" t="s">
        <v>1</v>
      </c>
      <c r="HB181" s="5" t="s">
        <v>1</v>
      </c>
      <c r="HC181" s="5" t="s">
        <v>1</v>
      </c>
      <c r="HD181" s="5" t="s">
        <v>1</v>
      </c>
      <c r="HE181" t="s">
        <v>1</v>
      </c>
      <c r="HF181" s="5" t="s">
        <v>1</v>
      </c>
      <c r="HG181" s="5" t="s">
        <v>1</v>
      </c>
      <c r="HH181" s="5" t="s">
        <v>1</v>
      </c>
      <c r="HI181" s="5" t="s">
        <v>1</v>
      </c>
      <c r="HJ181" t="s">
        <v>1</v>
      </c>
      <c r="HK181" t="s">
        <v>1</v>
      </c>
      <c r="HL181" t="s">
        <v>1</v>
      </c>
      <c r="HM181" t="s">
        <v>1</v>
      </c>
      <c r="HN181" t="s">
        <v>1</v>
      </c>
      <c r="HO181" t="s">
        <v>1</v>
      </c>
      <c r="HP181" t="s">
        <v>1</v>
      </c>
      <c r="HQ181" t="s">
        <v>983</v>
      </c>
      <c r="HR181" s="28" t="s">
        <v>1032</v>
      </c>
      <c r="HS181" s="5" t="s">
        <v>1039</v>
      </c>
      <c r="HT181" s="28" t="s">
        <v>1425</v>
      </c>
      <c r="HU181" s="5" t="s">
        <v>842</v>
      </c>
      <c r="HV181" s="5" t="s">
        <v>1358</v>
      </c>
      <c r="HW181" t="s">
        <v>937</v>
      </c>
      <c r="HX181" s="3" t="s">
        <v>1</v>
      </c>
      <c r="HY181" s="3" t="s">
        <v>1</v>
      </c>
      <c r="HZ181" t="s">
        <v>1</v>
      </c>
      <c r="IA181" t="s">
        <v>1</v>
      </c>
      <c r="IB181" s="10" t="s">
        <v>1</v>
      </c>
      <c r="IC181" s="10" t="s">
        <v>1</v>
      </c>
      <c r="ID181" s="10" t="s">
        <v>1</v>
      </c>
      <c r="IE181" s="10" t="s">
        <v>1</v>
      </c>
      <c r="IF181" s="10" t="s">
        <v>1</v>
      </c>
      <c r="IG181" t="s">
        <v>1310</v>
      </c>
      <c r="IH181" s="10">
        <f t="shared" si="17"/>
        <v>114.5</v>
      </c>
      <c r="II181" s="10" t="s">
        <v>1</v>
      </c>
      <c r="IJ181" s="10" t="s">
        <v>1</v>
      </c>
      <c r="IK181" t="s">
        <v>1311</v>
      </c>
      <c r="IL181" s="10">
        <f t="shared" si="18"/>
        <v>67.2</v>
      </c>
      <c r="IM181" s="10" t="s">
        <v>1</v>
      </c>
      <c r="IN181" s="10" t="s">
        <v>1</v>
      </c>
      <c r="IO181" s="10" t="s">
        <v>1319</v>
      </c>
      <c r="IP181" s="10">
        <v>15</v>
      </c>
      <c r="IQ181" s="10" t="s">
        <v>1</v>
      </c>
      <c r="IR181" s="10" t="s">
        <v>1</v>
      </c>
      <c r="IS181" t="s">
        <v>1</v>
      </c>
      <c r="IT181" t="s">
        <v>1</v>
      </c>
      <c r="IW181" t="s">
        <v>1</v>
      </c>
      <c r="IX181" t="s">
        <v>1</v>
      </c>
      <c r="IY181" t="s">
        <v>1</v>
      </c>
      <c r="IZ181" t="s">
        <v>1</v>
      </c>
      <c r="JA181" t="s">
        <v>1</v>
      </c>
      <c r="JB181" s="3" t="s">
        <v>1</v>
      </c>
      <c r="JC181" t="s">
        <v>1</v>
      </c>
      <c r="JD181" s="4" t="s">
        <v>1</v>
      </c>
      <c r="JE181" t="s">
        <v>810</v>
      </c>
      <c r="JF181">
        <v>100</v>
      </c>
      <c r="JG181" t="s">
        <v>859</v>
      </c>
      <c r="JH181" t="s">
        <v>1387</v>
      </c>
      <c r="JI181" t="s">
        <v>946</v>
      </c>
      <c r="JJ181" t="s">
        <v>1</v>
      </c>
      <c r="JK181" s="31" t="s">
        <v>1</v>
      </c>
      <c r="JL181" t="s">
        <v>947</v>
      </c>
      <c r="JM181" s="31" t="s">
        <v>1</v>
      </c>
      <c r="JN181" t="s">
        <v>1050</v>
      </c>
      <c r="JO181" s="3" t="s">
        <v>1</v>
      </c>
      <c r="JP181" t="s">
        <v>1051</v>
      </c>
      <c r="JQ181" s="31" t="s">
        <v>1</v>
      </c>
      <c r="JR181" t="s">
        <v>1066</v>
      </c>
      <c r="JS181" t="s">
        <v>988</v>
      </c>
      <c r="JT181" t="s">
        <v>985</v>
      </c>
      <c r="JU181" t="s">
        <v>1</v>
      </c>
      <c r="JV181" t="s">
        <v>1426</v>
      </c>
      <c r="JW181" t="s">
        <v>842</v>
      </c>
      <c r="JX181">
        <v>0</v>
      </c>
      <c r="JY181">
        <v>80</v>
      </c>
      <c r="JZ181" t="s">
        <v>800</v>
      </c>
      <c r="KA181" t="s">
        <v>206</v>
      </c>
      <c r="KB181" t="s">
        <v>738</v>
      </c>
      <c r="KC181" t="s">
        <v>1</v>
      </c>
      <c r="KD181" t="s">
        <v>1</v>
      </c>
      <c r="KE181" t="s">
        <v>1</v>
      </c>
      <c r="KF181" t="s">
        <v>1</v>
      </c>
      <c r="KG181" t="s">
        <v>1</v>
      </c>
      <c r="KH181" t="s">
        <v>1</v>
      </c>
      <c r="KI181" t="s">
        <v>1</v>
      </c>
      <c r="KJ181" t="s">
        <v>1</v>
      </c>
      <c r="KK181" t="s">
        <v>1</v>
      </c>
    </row>
    <row r="182" spans="1:297" x14ac:dyDescent="0.2">
      <c r="A182" s="3" t="s">
        <v>863</v>
      </c>
      <c r="B182" t="s">
        <v>705</v>
      </c>
      <c r="C182" t="s">
        <v>890</v>
      </c>
      <c r="D182" t="s">
        <v>690</v>
      </c>
      <c r="E182">
        <v>29</v>
      </c>
      <c r="F182" t="s">
        <v>213</v>
      </c>
      <c r="G182" t="s">
        <v>1</v>
      </c>
      <c r="H182" s="26" t="s">
        <v>1420</v>
      </c>
      <c r="I182" t="s">
        <v>1</v>
      </c>
      <c r="J182" t="s">
        <v>1</v>
      </c>
      <c r="K182" t="s">
        <v>1</v>
      </c>
      <c r="L182" t="s">
        <v>1</v>
      </c>
      <c r="M182" t="s">
        <v>1</v>
      </c>
      <c r="N182" t="s">
        <v>1</v>
      </c>
      <c r="O182" t="s">
        <v>1</v>
      </c>
      <c r="P182" t="s">
        <v>1</v>
      </c>
      <c r="Q182" t="s">
        <v>1</v>
      </c>
      <c r="R182" t="s">
        <v>1</v>
      </c>
      <c r="S182" t="s">
        <v>1</v>
      </c>
      <c r="T182" t="s">
        <v>1</v>
      </c>
      <c r="U182" t="s">
        <v>1</v>
      </c>
      <c r="V182" t="s">
        <v>1</v>
      </c>
      <c r="W182" t="s">
        <v>1</v>
      </c>
      <c r="X182" t="s">
        <v>1</v>
      </c>
      <c r="Y182" t="s">
        <v>1</v>
      </c>
      <c r="Z182" t="s">
        <v>1</v>
      </c>
      <c r="AA182" t="s">
        <v>1</v>
      </c>
      <c r="AB182" t="s">
        <v>1</v>
      </c>
      <c r="AC182" t="s">
        <v>1</v>
      </c>
      <c r="AD182" t="s">
        <v>1</v>
      </c>
      <c r="AE182" t="s">
        <v>1</v>
      </c>
      <c r="AF182" t="s">
        <v>1</v>
      </c>
      <c r="AG182" t="s">
        <v>1</v>
      </c>
      <c r="AH182" t="s">
        <v>1</v>
      </c>
      <c r="AI182" t="s">
        <v>1</v>
      </c>
      <c r="AJ182" t="s">
        <v>1</v>
      </c>
      <c r="AK182" t="s">
        <v>1</v>
      </c>
      <c r="AL182" t="s">
        <v>1</v>
      </c>
      <c r="AM182" t="s">
        <v>1</v>
      </c>
      <c r="AN182" s="3" t="s">
        <v>863</v>
      </c>
      <c r="AO182" t="str">
        <f t="shared" si="12"/>
        <v>180-4</v>
      </c>
      <c r="AP182">
        <f t="shared" si="10"/>
        <v>29</v>
      </c>
      <c r="AQ182">
        <f t="shared" si="11"/>
        <v>29</v>
      </c>
      <c r="AR182" t="s">
        <v>1355</v>
      </c>
      <c r="AS182" t="s">
        <v>1356</v>
      </c>
      <c r="AT182" t="s">
        <v>714</v>
      </c>
      <c r="AU182" t="s">
        <v>1</v>
      </c>
      <c r="AV182" t="s">
        <v>1</v>
      </c>
      <c r="AW182">
        <v>58.37</v>
      </c>
      <c r="AX182">
        <v>13.48</v>
      </c>
      <c r="AY182" t="s">
        <v>737</v>
      </c>
      <c r="AZ182">
        <f t="shared" si="19"/>
        <v>5.3999999999999999E-2</v>
      </c>
      <c r="BA182" s="3">
        <f t="shared" si="20"/>
        <v>6</v>
      </c>
      <c r="BB182" s="10" t="s">
        <v>1355</v>
      </c>
      <c r="BC182" t="s">
        <v>1461</v>
      </c>
      <c r="BD182" s="30">
        <v>38217</v>
      </c>
      <c r="BE182" s="3" t="s">
        <v>932</v>
      </c>
      <c r="BF182" s="30">
        <v>38575</v>
      </c>
      <c r="BG182" s="19" t="s">
        <v>934</v>
      </c>
      <c r="BH182" s="19" t="s">
        <v>934</v>
      </c>
      <c r="BI182" s="19" t="s">
        <v>945</v>
      </c>
      <c r="BJ182" s="19" t="s">
        <v>934</v>
      </c>
      <c r="BK182" s="19" t="s">
        <v>945</v>
      </c>
      <c r="BL182" s="19" t="s">
        <v>945</v>
      </c>
      <c r="BM182" s="19" t="s">
        <v>945</v>
      </c>
      <c r="BN182" s="19" t="s">
        <v>934</v>
      </c>
      <c r="BO182" s="19" t="s">
        <v>934</v>
      </c>
      <c r="BP182" s="19" t="s">
        <v>945</v>
      </c>
      <c r="BQ182" s="24" t="s">
        <v>945</v>
      </c>
      <c r="BR182" s="24" t="s">
        <v>945</v>
      </c>
      <c r="BS182" s="24" t="s">
        <v>934</v>
      </c>
      <c r="BT182" s="24" t="s">
        <v>934</v>
      </c>
      <c r="BU182" s="24" t="s">
        <v>934</v>
      </c>
      <c r="BV182" s="24" t="s">
        <v>934</v>
      </c>
      <c r="BW182" s="24" t="s">
        <v>934</v>
      </c>
      <c r="BX182" s="24" t="s">
        <v>934</v>
      </c>
      <c r="BY182" s="25" t="s">
        <v>945</v>
      </c>
      <c r="BZ182" t="s">
        <v>1393</v>
      </c>
      <c r="CA182" t="s">
        <v>935</v>
      </c>
      <c r="CB182" t="s">
        <v>1</v>
      </c>
      <c r="CC182" s="4" t="s">
        <v>1</v>
      </c>
      <c r="CD182" s="4">
        <v>3</v>
      </c>
      <c r="CE182" s="4" t="s">
        <v>984</v>
      </c>
      <c r="CF182" s="4" t="s">
        <v>1</v>
      </c>
      <c r="CG182" t="s">
        <v>1</v>
      </c>
      <c r="CH182" t="s">
        <v>1</v>
      </c>
      <c r="CI182" s="28" t="s">
        <v>1</v>
      </c>
      <c r="CJ182" s="10" t="s">
        <v>1</v>
      </c>
      <c r="CK182" s="9" t="s">
        <v>1</v>
      </c>
      <c r="CL182" s="4" t="s">
        <v>1</v>
      </c>
      <c r="CM182" t="s">
        <v>1024</v>
      </c>
      <c r="CN182" s="4" t="s">
        <v>1026</v>
      </c>
      <c r="CO182" s="22" t="s">
        <v>1028</v>
      </c>
      <c r="CP182" s="4" t="s">
        <v>1</v>
      </c>
      <c r="CQ182" s="4" t="s">
        <v>1</v>
      </c>
      <c r="CR182" s="4" t="s">
        <v>1</v>
      </c>
      <c r="CS182" s="4" t="s">
        <v>1</v>
      </c>
      <c r="CT182" s="4" t="s">
        <v>1</v>
      </c>
      <c r="CU182" s="4" t="s">
        <v>1</v>
      </c>
      <c r="CV182" t="s">
        <v>855</v>
      </c>
      <c r="CW182">
        <v>100</v>
      </c>
      <c r="CX182">
        <v>0</v>
      </c>
      <c r="CY182">
        <v>30</v>
      </c>
      <c r="CZ182" t="s">
        <v>1358</v>
      </c>
      <c r="DA182" t="s">
        <v>734</v>
      </c>
      <c r="DB182">
        <v>64</v>
      </c>
      <c r="DC182">
        <v>0</v>
      </c>
      <c r="DD182">
        <v>30</v>
      </c>
      <c r="DE182" t="s">
        <v>1358</v>
      </c>
      <c r="DF182" t="s">
        <v>735</v>
      </c>
      <c r="DG182">
        <v>22</v>
      </c>
      <c r="DH182">
        <v>0</v>
      </c>
      <c r="DI182">
        <v>30</v>
      </c>
      <c r="DJ182" t="s">
        <v>1358</v>
      </c>
      <c r="DK182" t="s">
        <v>736</v>
      </c>
      <c r="DL182">
        <v>14</v>
      </c>
      <c r="DM182">
        <v>0</v>
      </c>
      <c r="DN182">
        <v>30</v>
      </c>
      <c r="DO182" t="s">
        <v>1358</v>
      </c>
      <c r="DP182" t="s">
        <v>6</v>
      </c>
      <c r="DQ182" t="s">
        <v>813</v>
      </c>
      <c r="DR182">
        <v>6.4</v>
      </c>
      <c r="DS182">
        <v>0</v>
      </c>
      <c r="DT182">
        <v>30</v>
      </c>
      <c r="DU182" t="s">
        <v>1358</v>
      </c>
      <c r="DV182" t="s">
        <v>980</v>
      </c>
      <c r="DW182">
        <v>28</v>
      </c>
      <c r="DX182">
        <v>0</v>
      </c>
      <c r="DY182">
        <v>30</v>
      </c>
      <c r="DZ182" t="s">
        <v>1358</v>
      </c>
      <c r="EA182" t="s">
        <v>982</v>
      </c>
      <c r="EB182">
        <v>16</v>
      </c>
      <c r="EC182">
        <v>0</v>
      </c>
      <c r="ED182">
        <v>30</v>
      </c>
      <c r="EE182" t="s">
        <v>1358</v>
      </c>
      <c r="EG182" t="s">
        <v>981</v>
      </c>
      <c r="EH182">
        <f t="shared" si="21"/>
        <v>1.4</v>
      </c>
      <c r="EI182">
        <v>0</v>
      </c>
      <c r="EJ182">
        <v>30</v>
      </c>
      <c r="EK182" t="s">
        <v>1358</v>
      </c>
      <c r="EL182" t="s">
        <v>734</v>
      </c>
      <c r="EM182">
        <v>71</v>
      </c>
      <c r="EN182">
        <v>30</v>
      </c>
      <c r="EO182">
        <v>60</v>
      </c>
      <c r="EP182" t="s">
        <v>1358</v>
      </c>
      <c r="EQ182" t="s">
        <v>735</v>
      </c>
      <c r="ER182">
        <v>17</v>
      </c>
      <c r="ES182">
        <v>30</v>
      </c>
      <c r="ET182">
        <v>60</v>
      </c>
      <c r="EU182" t="s">
        <v>1358</v>
      </c>
      <c r="EV182" t="s">
        <v>736</v>
      </c>
      <c r="EW182">
        <v>12</v>
      </c>
      <c r="EX182">
        <v>30</v>
      </c>
      <c r="EY182">
        <v>60</v>
      </c>
      <c r="EZ182" t="s">
        <v>1358</v>
      </c>
      <c r="FA182" t="s">
        <v>980</v>
      </c>
      <c r="FB182">
        <v>25</v>
      </c>
      <c r="FC182">
        <v>30</v>
      </c>
      <c r="FD182">
        <v>60</v>
      </c>
      <c r="FE182" t="s">
        <v>1358</v>
      </c>
      <c r="FF182" t="s">
        <v>734</v>
      </c>
      <c r="FG182">
        <f t="shared" si="22"/>
        <v>67.34</v>
      </c>
      <c r="FH182">
        <v>60</v>
      </c>
      <c r="FI182">
        <v>90</v>
      </c>
      <c r="FJ182" t="s">
        <v>1358</v>
      </c>
      <c r="FK182" t="s">
        <v>735</v>
      </c>
      <c r="FL182">
        <f t="shared" si="23"/>
        <v>20.100000000000001</v>
      </c>
      <c r="FM182">
        <v>60</v>
      </c>
      <c r="FN182">
        <v>90</v>
      </c>
      <c r="FO182" t="s">
        <v>1358</v>
      </c>
      <c r="FP182" t="s">
        <v>736</v>
      </c>
      <c r="FQ182">
        <f t="shared" si="24"/>
        <v>12.56</v>
      </c>
      <c r="FR182">
        <v>60</v>
      </c>
      <c r="FS182">
        <v>90</v>
      </c>
      <c r="FT182" t="s">
        <v>1358</v>
      </c>
      <c r="FU182" t="s">
        <v>980</v>
      </c>
      <c r="FV182">
        <v>25</v>
      </c>
      <c r="FW182">
        <v>60</v>
      </c>
      <c r="FX182">
        <v>90</v>
      </c>
      <c r="FY182" t="s">
        <v>1358</v>
      </c>
      <c r="FZ182" t="s">
        <v>957</v>
      </c>
      <c r="GA182" t="s">
        <v>958</v>
      </c>
      <c r="GB182" t="s">
        <v>959</v>
      </c>
      <c r="GC182" t="s">
        <v>1</v>
      </c>
      <c r="GD182" t="s">
        <v>1</v>
      </c>
      <c r="GE182" s="26" t="s">
        <v>1358</v>
      </c>
      <c r="GF182" t="s">
        <v>957</v>
      </c>
      <c r="GG182" t="s">
        <v>961</v>
      </c>
      <c r="GH182" t="s">
        <v>960</v>
      </c>
      <c r="GI182" s="20">
        <v>1961</v>
      </c>
      <c r="GJ182" s="20">
        <v>1990</v>
      </c>
      <c r="GK182" s="26" t="s">
        <v>1358</v>
      </c>
      <c r="GL182" t="s">
        <v>953</v>
      </c>
      <c r="GM182" t="s">
        <v>955</v>
      </c>
      <c r="GN182" t="s">
        <v>954</v>
      </c>
      <c r="GO182" s="5" t="s">
        <v>956</v>
      </c>
      <c r="GP182" s="5" t="s">
        <v>1382</v>
      </c>
      <c r="GQ182" s="5" t="s">
        <v>962</v>
      </c>
      <c r="GR182" s="5" t="s">
        <v>963</v>
      </c>
      <c r="GS182" s="5" t="s">
        <v>959</v>
      </c>
      <c r="GT182" s="26" t="s">
        <v>1358</v>
      </c>
      <c r="GU182" s="5" t="s">
        <v>962</v>
      </c>
      <c r="GV182" s="5" t="s">
        <v>964</v>
      </c>
      <c r="GW182" s="5" t="s">
        <v>960</v>
      </c>
      <c r="GX182" s="20">
        <v>1961</v>
      </c>
      <c r="GY182" s="20">
        <v>1990</v>
      </c>
      <c r="GZ182" s="26" t="s">
        <v>1358</v>
      </c>
      <c r="HA182" s="5" t="s">
        <v>1</v>
      </c>
      <c r="HB182" s="5" t="s">
        <v>1</v>
      </c>
      <c r="HC182" s="5" t="s">
        <v>1</v>
      </c>
      <c r="HD182" s="5" t="s">
        <v>1</v>
      </c>
      <c r="HE182" t="s">
        <v>1</v>
      </c>
      <c r="HF182" s="5" t="s">
        <v>1</v>
      </c>
      <c r="HG182" s="5" t="s">
        <v>1</v>
      </c>
      <c r="HH182" s="5" t="s">
        <v>1</v>
      </c>
      <c r="HI182" s="5" t="s">
        <v>1</v>
      </c>
      <c r="HJ182" t="s">
        <v>1</v>
      </c>
      <c r="HK182" t="s">
        <v>1</v>
      </c>
      <c r="HL182" t="s">
        <v>1</v>
      </c>
      <c r="HM182" t="s">
        <v>1</v>
      </c>
      <c r="HN182" t="s">
        <v>1</v>
      </c>
      <c r="HO182" t="s">
        <v>1</v>
      </c>
      <c r="HP182" t="s">
        <v>1</v>
      </c>
      <c r="HQ182" t="s">
        <v>983</v>
      </c>
      <c r="HR182" t="s">
        <v>1033</v>
      </c>
      <c r="HS182" s="5" t="s">
        <v>1039</v>
      </c>
      <c r="HT182" s="28" t="s">
        <v>1425</v>
      </c>
      <c r="HU182" s="5" t="s">
        <v>842</v>
      </c>
      <c r="HV182" s="5" t="s">
        <v>1358</v>
      </c>
      <c r="HW182" t="s">
        <v>937</v>
      </c>
      <c r="HX182" t="s">
        <v>941</v>
      </c>
      <c r="HY182" s="30" t="s">
        <v>943</v>
      </c>
      <c r="HZ182" t="s">
        <v>1295</v>
      </c>
      <c r="IA182">
        <f>30+150</f>
        <v>180</v>
      </c>
      <c r="IB182" s="10" t="s">
        <v>1</v>
      </c>
      <c r="IC182" s="10">
        <v>15</v>
      </c>
      <c r="ID182" s="10" t="s">
        <v>984</v>
      </c>
      <c r="IE182" s="10" t="s">
        <v>1</v>
      </c>
      <c r="IF182" s="10" t="s">
        <v>1</v>
      </c>
      <c r="IG182" t="s">
        <v>1310</v>
      </c>
      <c r="IH182" s="10">
        <f t="shared" si="17"/>
        <v>114.5</v>
      </c>
      <c r="II182" s="10" t="s">
        <v>1</v>
      </c>
      <c r="IJ182" s="10" t="s">
        <v>1</v>
      </c>
      <c r="IK182" t="s">
        <v>1311</v>
      </c>
      <c r="IL182" s="10">
        <f t="shared" si="18"/>
        <v>67.2</v>
      </c>
      <c r="IM182" s="10" t="s">
        <v>1</v>
      </c>
      <c r="IN182" s="10" t="s">
        <v>1</v>
      </c>
      <c r="IO182" s="10" t="s">
        <v>1319</v>
      </c>
      <c r="IP182" s="10">
        <v>15</v>
      </c>
      <c r="IQ182" s="10" t="s">
        <v>1</v>
      </c>
      <c r="IR182" s="10" t="s">
        <v>1</v>
      </c>
      <c r="IS182" t="s">
        <v>1</v>
      </c>
      <c r="IT182" t="s">
        <v>1</v>
      </c>
      <c r="IW182" t="s">
        <v>1</v>
      </c>
      <c r="IX182" t="s">
        <v>1</v>
      </c>
      <c r="IY182" t="s">
        <v>1</v>
      </c>
      <c r="IZ182" t="s">
        <v>1</v>
      </c>
      <c r="JA182" t="s">
        <v>1</v>
      </c>
      <c r="JB182" s="3" t="s">
        <v>1</v>
      </c>
      <c r="JC182" t="s">
        <v>1</v>
      </c>
      <c r="JD182" s="4" t="s">
        <v>1</v>
      </c>
      <c r="JE182" t="s">
        <v>810</v>
      </c>
      <c r="JF182">
        <v>100</v>
      </c>
      <c r="JG182" t="s">
        <v>859</v>
      </c>
      <c r="JH182" t="s">
        <v>1387</v>
      </c>
      <c r="JI182" t="s">
        <v>946</v>
      </c>
      <c r="JJ182" t="s">
        <v>1421</v>
      </c>
      <c r="JK182" s="31" t="s">
        <v>1</v>
      </c>
      <c r="JL182" t="s">
        <v>947</v>
      </c>
      <c r="JM182" t="s">
        <v>948</v>
      </c>
      <c r="JN182" t="s">
        <v>1050</v>
      </c>
      <c r="JO182" s="30" t="s">
        <v>943</v>
      </c>
      <c r="JP182" t="s">
        <v>1051</v>
      </c>
      <c r="JQ182" t="s">
        <v>1057</v>
      </c>
      <c r="JR182" t="s">
        <v>1066</v>
      </c>
      <c r="JS182" t="s">
        <v>989</v>
      </c>
      <c r="JT182" t="s">
        <v>985</v>
      </c>
      <c r="JU182" t="s">
        <v>1</v>
      </c>
      <c r="JV182" t="s">
        <v>1426</v>
      </c>
      <c r="JW182" t="s">
        <v>842</v>
      </c>
      <c r="JX182">
        <v>0</v>
      </c>
      <c r="JY182">
        <v>80</v>
      </c>
      <c r="JZ182" t="s">
        <v>800</v>
      </c>
      <c r="KA182" t="s">
        <v>206</v>
      </c>
      <c r="KB182" t="s">
        <v>738</v>
      </c>
      <c r="KC182" t="s">
        <v>1</v>
      </c>
      <c r="KD182" t="s">
        <v>1</v>
      </c>
      <c r="KE182" t="s">
        <v>1</v>
      </c>
      <c r="KF182" t="s">
        <v>1</v>
      </c>
      <c r="KG182" t="s">
        <v>1</v>
      </c>
      <c r="KH182" t="s">
        <v>1</v>
      </c>
      <c r="KI182" t="s">
        <v>1</v>
      </c>
      <c r="KJ182" t="s">
        <v>1</v>
      </c>
      <c r="KK182" t="s">
        <v>1</v>
      </c>
    </row>
    <row r="183" spans="1:297" x14ac:dyDescent="0.2">
      <c r="A183" s="3" t="s">
        <v>864</v>
      </c>
      <c r="B183" t="s">
        <v>705</v>
      </c>
      <c r="C183" t="s">
        <v>891</v>
      </c>
      <c r="D183" t="s">
        <v>690</v>
      </c>
      <c r="E183">
        <v>29</v>
      </c>
      <c r="F183" t="s">
        <v>213</v>
      </c>
      <c r="G183" t="s">
        <v>1</v>
      </c>
      <c r="H183" s="26" t="s">
        <v>1420</v>
      </c>
      <c r="I183" t="s">
        <v>1</v>
      </c>
      <c r="J183" t="s">
        <v>1</v>
      </c>
      <c r="K183" t="s">
        <v>1</v>
      </c>
      <c r="L183" t="s">
        <v>1</v>
      </c>
      <c r="M183" t="s">
        <v>1</v>
      </c>
      <c r="N183" t="s">
        <v>1</v>
      </c>
      <c r="O183" t="s">
        <v>1</v>
      </c>
      <c r="P183" t="s">
        <v>1</v>
      </c>
      <c r="Q183" t="s">
        <v>1</v>
      </c>
      <c r="R183" t="s">
        <v>1</v>
      </c>
      <c r="S183" t="s">
        <v>1</v>
      </c>
      <c r="T183" t="s">
        <v>1</v>
      </c>
      <c r="U183" t="s">
        <v>1</v>
      </c>
      <c r="V183" t="s">
        <v>1</v>
      </c>
      <c r="W183" t="s">
        <v>1</v>
      </c>
      <c r="X183" t="s">
        <v>1</v>
      </c>
      <c r="Y183" t="s">
        <v>1</v>
      </c>
      <c r="Z183" t="s">
        <v>1</v>
      </c>
      <c r="AA183" t="s">
        <v>1</v>
      </c>
      <c r="AB183" t="s">
        <v>1</v>
      </c>
      <c r="AC183" t="s">
        <v>1</v>
      </c>
      <c r="AD183" t="s">
        <v>1</v>
      </c>
      <c r="AE183" t="s">
        <v>1</v>
      </c>
      <c r="AF183" t="s">
        <v>1</v>
      </c>
      <c r="AG183" t="s">
        <v>1</v>
      </c>
      <c r="AH183" t="s">
        <v>1</v>
      </c>
      <c r="AI183" t="s">
        <v>1</v>
      </c>
      <c r="AJ183" t="s">
        <v>1</v>
      </c>
      <c r="AK183" t="s">
        <v>1</v>
      </c>
      <c r="AL183" t="s">
        <v>1</v>
      </c>
      <c r="AM183" t="s">
        <v>1</v>
      </c>
      <c r="AN183" s="3" t="s">
        <v>864</v>
      </c>
      <c r="AO183" t="str">
        <f t="shared" si="12"/>
        <v>180-5</v>
      </c>
      <c r="AP183">
        <f t="shared" si="10"/>
        <v>29</v>
      </c>
      <c r="AQ183">
        <f t="shared" si="11"/>
        <v>29</v>
      </c>
      <c r="AR183" t="s">
        <v>1355</v>
      </c>
      <c r="AS183" t="s">
        <v>1356</v>
      </c>
      <c r="AT183" t="s">
        <v>714</v>
      </c>
      <c r="AU183" t="s">
        <v>1</v>
      </c>
      <c r="AV183" t="s">
        <v>1</v>
      </c>
      <c r="AW183">
        <v>58.37</v>
      </c>
      <c r="AX183">
        <v>13.48</v>
      </c>
      <c r="AY183" t="s">
        <v>737</v>
      </c>
      <c r="AZ183">
        <f t="shared" si="19"/>
        <v>5.3999999999999999E-2</v>
      </c>
      <c r="BA183" s="3">
        <f t="shared" si="20"/>
        <v>6</v>
      </c>
      <c r="BB183" s="10" t="s">
        <v>1355</v>
      </c>
      <c r="BC183" t="s">
        <v>1461</v>
      </c>
      <c r="BD183" s="30">
        <v>38217</v>
      </c>
      <c r="BE183" s="3" t="s">
        <v>932</v>
      </c>
      <c r="BF183" s="30">
        <v>38575</v>
      </c>
      <c r="BG183" s="19" t="s">
        <v>934</v>
      </c>
      <c r="BH183" s="19" t="s">
        <v>934</v>
      </c>
      <c r="BI183" s="19" t="s">
        <v>945</v>
      </c>
      <c r="BJ183" s="19" t="s">
        <v>934</v>
      </c>
      <c r="BK183" s="19" t="s">
        <v>945</v>
      </c>
      <c r="BL183" s="19" t="s">
        <v>945</v>
      </c>
      <c r="BM183" s="19" t="s">
        <v>945</v>
      </c>
      <c r="BN183" s="19" t="s">
        <v>934</v>
      </c>
      <c r="BO183" s="19" t="s">
        <v>934</v>
      </c>
      <c r="BP183" s="19" t="s">
        <v>945</v>
      </c>
      <c r="BQ183" s="24" t="s">
        <v>945</v>
      </c>
      <c r="BR183" s="24" t="s">
        <v>945</v>
      </c>
      <c r="BS183" s="24" t="s">
        <v>934</v>
      </c>
      <c r="BT183" s="24" t="s">
        <v>934</v>
      </c>
      <c r="BU183" s="24" t="s">
        <v>934</v>
      </c>
      <c r="BV183" s="24" t="s">
        <v>934</v>
      </c>
      <c r="BW183" s="24" t="s">
        <v>934</v>
      </c>
      <c r="BX183" s="24" t="s">
        <v>934</v>
      </c>
      <c r="BY183" s="25" t="s">
        <v>945</v>
      </c>
      <c r="BZ183" t="s">
        <v>1393</v>
      </c>
      <c r="CA183" t="s">
        <v>935</v>
      </c>
      <c r="CB183" t="s">
        <v>1</v>
      </c>
      <c r="CC183" s="4" t="s">
        <v>1</v>
      </c>
      <c r="CD183" s="4">
        <v>3</v>
      </c>
      <c r="CE183" s="4" t="s">
        <v>984</v>
      </c>
      <c r="CF183" t="s">
        <v>1</v>
      </c>
      <c r="CG183" t="s">
        <v>1</v>
      </c>
      <c r="CH183" t="s">
        <v>1</v>
      </c>
      <c r="CI183" s="28" t="s">
        <v>1</v>
      </c>
      <c r="CJ183" s="10" t="s">
        <v>1</v>
      </c>
      <c r="CK183" s="9" t="s">
        <v>1</v>
      </c>
      <c r="CL183" s="4" t="s">
        <v>1</v>
      </c>
      <c r="CM183" t="s">
        <v>1024</v>
      </c>
      <c r="CN183" s="4" t="s">
        <v>1027</v>
      </c>
      <c r="CO183" s="22" t="s">
        <v>1028</v>
      </c>
      <c r="CP183" s="4" t="s">
        <v>1</v>
      </c>
      <c r="CQ183" s="4" t="s">
        <v>1</v>
      </c>
      <c r="CR183" s="4" t="s">
        <v>1</v>
      </c>
      <c r="CS183" s="4" t="s">
        <v>1</v>
      </c>
      <c r="CT183" s="4" t="s">
        <v>1</v>
      </c>
      <c r="CU183" s="4" t="s">
        <v>1</v>
      </c>
      <c r="CV183" t="s">
        <v>855</v>
      </c>
      <c r="CW183">
        <v>100</v>
      </c>
      <c r="CX183">
        <v>0</v>
      </c>
      <c r="CY183">
        <v>30</v>
      </c>
      <c r="CZ183" t="s">
        <v>1358</v>
      </c>
      <c r="DA183" t="s">
        <v>734</v>
      </c>
      <c r="DB183">
        <v>64</v>
      </c>
      <c r="DC183">
        <v>0</v>
      </c>
      <c r="DD183">
        <v>30</v>
      </c>
      <c r="DE183" t="s">
        <v>1358</v>
      </c>
      <c r="DF183" t="s">
        <v>735</v>
      </c>
      <c r="DG183">
        <v>22</v>
      </c>
      <c r="DH183">
        <v>0</v>
      </c>
      <c r="DI183">
        <v>30</v>
      </c>
      <c r="DJ183" t="s">
        <v>1358</v>
      </c>
      <c r="DK183" t="s">
        <v>736</v>
      </c>
      <c r="DL183">
        <v>14</v>
      </c>
      <c r="DM183">
        <v>0</v>
      </c>
      <c r="DN183">
        <v>30</v>
      </c>
      <c r="DO183" t="s">
        <v>1358</v>
      </c>
      <c r="DP183" t="s">
        <v>6</v>
      </c>
      <c r="DQ183" t="s">
        <v>813</v>
      </c>
      <c r="DR183">
        <v>6.4</v>
      </c>
      <c r="DS183">
        <v>0</v>
      </c>
      <c r="DT183">
        <v>30</v>
      </c>
      <c r="DU183" t="s">
        <v>1358</v>
      </c>
      <c r="DV183" t="s">
        <v>980</v>
      </c>
      <c r="DW183">
        <v>28</v>
      </c>
      <c r="DX183">
        <v>0</v>
      </c>
      <c r="DY183">
        <v>30</v>
      </c>
      <c r="DZ183" t="s">
        <v>1358</v>
      </c>
      <c r="EA183" t="s">
        <v>982</v>
      </c>
      <c r="EB183">
        <v>16</v>
      </c>
      <c r="EC183">
        <v>0</v>
      </c>
      <c r="ED183">
        <v>30</v>
      </c>
      <c r="EE183" t="s">
        <v>1358</v>
      </c>
      <c r="EG183" t="s">
        <v>981</v>
      </c>
      <c r="EH183">
        <f t="shared" si="21"/>
        <v>1.4</v>
      </c>
      <c r="EI183">
        <v>0</v>
      </c>
      <c r="EJ183">
        <v>30</v>
      </c>
      <c r="EK183" t="s">
        <v>1358</v>
      </c>
      <c r="EL183" t="s">
        <v>734</v>
      </c>
      <c r="EM183">
        <v>71</v>
      </c>
      <c r="EN183">
        <v>30</v>
      </c>
      <c r="EO183">
        <v>60</v>
      </c>
      <c r="EP183" t="s">
        <v>1358</v>
      </c>
      <c r="EQ183" t="s">
        <v>735</v>
      </c>
      <c r="ER183">
        <v>17</v>
      </c>
      <c r="ES183">
        <v>30</v>
      </c>
      <c r="ET183">
        <v>60</v>
      </c>
      <c r="EU183" t="s">
        <v>1358</v>
      </c>
      <c r="EV183" t="s">
        <v>736</v>
      </c>
      <c r="EW183">
        <v>12</v>
      </c>
      <c r="EX183">
        <v>30</v>
      </c>
      <c r="EY183">
        <v>60</v>
      </c>
      <c r="EZ183" t="s">
        <v>1358</v>
      </c>
      <c r="FA183" t="s">
        <v>980</v>
      </c>
      <c r="FB183">
        <v>25</v>
      </c>
      <c r="FC183">
        <v>30</v>
      </c>
      <c r="FD183">
        <v>60</v>
      </c>
      <c r="FE183" t="s">
        <v>1358</v>
      </c>
      <c r="FF183" t="s">
        <v>734</v>
      </c>
      <c r="FG183">
        <f t="shared" si="22"/>
        <v>67.34</v>
      </c>
      <c r="FH183">
        <v>60</v>
      </c>
      <c r="FI183">
        <v>90</v>
      </c>
      <c r="FJ183" t="s">
        <v>1358</v>
      </c>
      <c r="FK183" t="s">
        <v>735</v>
      </c>
      <c r="FL183">
        <f t="shared" si="23"/>
        <v>20.100000000000001</v>
      </c>
      <c r="FM183">
        <v>60</v>
      </c>
      <c r="FN183">
        <v>90</v>
      </c>
      <c r="FO183" t="s">
        <v>1358</v>
      </c>
      <c r="FP183" t="s">
        <v>736</v>
      </c>
      <c r="FQ183">
        <f t="shared" si="24"/>
        <v>12.56</v>
      </c>
      <c r="FR183">
        <v>60</v>
      </c>
      <c r="FS183">
        <v>90</v>
      </c>
      <c r="FT183" t="s">
        <v>1358</v>
      </c>
      <c r="FU183" t="s">
        <v>980</v>
      </c>
      <c r="FV183">
        <v>25</v>
      </c>
      <c r="FW183">
        <v>60</v>
      </c>
      <c r="FX183">
        <v>90</v>
      </c>
      <c r="FY183" t="s">
        <v>1358</v>
      </c>
      <c r="FZ183" t="s">
        <v>957</v>
      </c>
      <c r="GA183" t="s">
        <v>958</v>
      </c>
      <c r="GB183" t="s">
        <v>959</v>
      </c>
      <c r="GC183" t="s">
        <v>1</v>
      </c>
      <c r="GD183" t="s">
        <v>1</v>
      </c>
      <c r="GE183" s="26" t="s">
        <v>1358</v>
      </c>
      <c r="GF183" t="s">
        <v>957</v>
      </c>
      <c r="GG183" t="s">
        <v>961</v>
      </c>
      <c r="GH183" t="s">
        <v>960</v>
      </c>
      <c r="GI183" s="20">
        <v>1961</v>
      </c>
      <c r="GJ183" s="20">
        <v>1990</v>
      </c>
      <c r="GK183" s="26" t="s">
        <v>1358</v>
      </c>
      <c r="GL183" t="s">
        <v>953</v>
      </c>
      <c r="GM183" t="s">
        <v>955</v>
      </c>
      <c r="GN183" t="s">
        <v>954</v>
      </c>
      <c r="GO183" s="5" t="s">
        <v>956</v>
      </c>
      <c r="GP183" s="5" t="s">
        <v>1382</v>
      </c>
      <c r="GQ183" s="5" t="s">
        <v>962</v>
      </c>
      <c r="GR183" s="5" t="s">
        <v>963</v>
      </c>
      <c r="GS183" s="5" t="s">
        <v>959</v>
      </c>
      <c r="GT183" s="26" t="s">
        <v>1358</v>
      </c>
      <c r="GU183" s="5" t="s">
        <v>962</v>
      </c>
      <c r="GV183" s="5" t="s">
        <v>964</v>
      </c>
      <c r="GW183" s="5" t="s">
        <v>960</v>
      </c>
      <c r="GX183" s="20">
        <v>1961</v>
      </c>
      <c r="GY183" s="20">
        <v>1990</v>
      </c>
      <c r="GZ183" s="26" t="s">
        <v>1358</v>
      </c>
      <c r="HA183" s="5" t="s">
        <v>1</v>
      </c>
      <c r="HB183" s="5" t="s">
        <v>1</v>
      </c>
      <c r="HC183" s="5" t="s">
        <v>1</v>
      </c>
      <c r="HD183" s="5" t="s">
        <v>1</v>
      </c>
      <c r="HE183" t="s">
        <v>1</v>
      </c>
      <c r="HF183" s="5" t="s">
        <v>1</v>
      </c>
      <c r="HG183" s="5" t="s">
        <v>1</v>
      </c>
      <c r="HH183" s="5" t="s">
        <v>1</v>
      </c>
      <c r="HI183" s="5" t="s">
        <v>1</v>
      </c>
      <c r="HJ183" t="s">
        <v>1</v>
      </c>
      <c r="HK183" t="s">
        <v>1</v>
      </c>
      <c r="HL183" t="s">
        <v>1</v>
      </c>
      <c r="HM183" t="s">
        <v>1</v>
      </c>
      <c r="HN183" t="s">
        <v>1</v>
      </c>
      <c r="HO183" t="s">
        <v>1</v>
      </c>
      <c r="HP183" t="s">
        <v>1</v>
      </c>
      <c r="HQ183" t="s">
        <v>983</v>
      </c>
      <c r="HR183" t="s">
        <v>1034</v>
      </c>
      <c r="HS183" s="5" t="s">
        <v>1039</v>
      </c>
      <c r="HT183" s="28" t="s">
        <v>1425</v>
      </c>
      <c r="HU183" s="5" t="s">
        <v>842</v>
      </c>
      <c r="HV183" s="5" t="s">
        <v>1358</v>
      </c>
      <c r="HW183" t="s">
        <v>937</v>
      </c>
      <c r="HX183">
        <v>4</v>
      </c>
      <c r="HY183" s="30">
        <v>38217</v>
      </c>
      <c r="HZ183" t="s">
        <v>1295</v>
      </c>
      <c r="IA183">
        <v>60</v>
      </c>
      <c r="IB183" s="10" t="s">
        <v>1</v>
      </c>
      <c r="IC183" s="10">
        <v>15</v>
      </c>
      <c r="ID183" s="10" t="s">
        <v>984</v>
      </c>
      <c r="IE183" s="10" t="s">
        <v>1</v>
      </c>
      <c r="IF183" s="10" t="s">
        <v>1</v>
      </c>
      <c r="IG183" t="s">
        <v>1310</v>
      </c>
      <c r="IH183" s="10">
        <f t="shared" si="17"/>
        <v>114.5</v>
      </c>
      <c r="II183" s="10" t="s">
        <v>1</v>
      </c>
      <c r="IJ183" s="10" t="s">
        <v>1</v>
      </c>
      <c r="IK183" t="s">
        <v>1311</v>
      </c>
      <c r="IL183" s="10">
        <f t="shared" si="18"/>
        <v>67.2</v>
      </c>
      <c r="IM183" s="10" t="s">
        <v>1</v>
      </c>
      <c r="IN183" s="10" t="s">
        <v>1</v>
      </c>
      <c r="IO183" s="10" t="s">
        <v>1319</v>
      </c>
      <c r="IP183" s="10">
        <v>15</v>
      </c>
      <c r="IQ183" s="10" t="s">
        <v>1</v>
      </c>
      <c r="IR183" s="10" t="s">
        <v>1</v>
      </c>
      <c r="IS183" t="s">
        <v>1</v>
      </c>
      <c r="IT183" t="s">
        <v>1</v>
      </c>
      <c r="IW183" t="s">
        <v>1</v>
      </c>
      <c r="IX183" t="s">
        <v>1</v>
      </c>
      <c r="IY183" t="s">
        <v>1</v>
      </c>
      <c r="IZ183" t="s">
        <v>1</v>
      </c>
      <c r="JA183" t="s">
        <v>1</v>
      </c>
      <c r="JB183" s="3" t="s">
        <v>1</v>
      </c>
      <c r="JC183" t="s">
        <v>1</v>
      </c>
      <c r="JD183" s="4" t="s">
        <v>1</v>
      </c>
      <c r="JE183" t="s">
        <v>810</v>
      </c>
      <c r="JF183">
        <v>100</v>
      </c>
      <c r="JG183" t="s">
        <v>859</v>
      </c>
      <c r="JH183" t="s">
        <v>1387</v>
      </c>
      <c r="JI183" t="s">
        <v>946</v>
      </c>
      <c r="JJ183" t="s">
        <v>1421</v>
      </c>
      <c r="JK183" s="31" t="s">
        <v>1</v>
      </c>
      <c r="JL183" t="s">
        <v>947</v>
      </c>
      <c r="JM183" t="s">
        <v>948</v>
      </c>
      <c r="JN183" t="s">
        <v>1050</v>
      </c>
      <c r="JO183" s="30">
        <v>38217</v>
      </c>
      <c r="JP183" t="s">
        <v>1051</v>
      </c>
      <c r="JQ183" t="s">
        <v>1057</v>
      </c>
      <c r="JR183" t="s">
        <v>1066</v>
      </c>
      <c r="JS183" t="s">
        <v>990</v>
      </c>
      <c r="JT183" t="s">
        <v>985</v>
      </c>
      <c r="JU183" t="s">
        <v>1</v>
      </c>
      <c r="JV183" t="s">
        <v>1426</v>
      </c>
      <c r="JW183" t="s">
        <v>842</v>
      </c>
      <c r="JX183">
        <v>0</v>
      </c>
      <c r="JY183">
        <v>80</v>
      </c>
      <c r="JZ183" t="s">
        <v>800</v>
      </c>
      <c r="KA183" t="s">
        <v>206</v>
      </c>
      <c r="KB183" t="s">
        <v>738</v>
      </c>
      <c r="KC183" t="s">
        <v>1</v>
      </c>
      <c r="KD183" t="s">
        <v>1</v>
      </c>
      <c r="KE183" t="s">
        <v>1</v>
      </c>
      <c r="KF183" t="s">
        <v>1</v>
      </c>
      <c r="KG183" t="s">
        <v>1</v>
      </c>
      <c r="KH183" t="s">
        <v>1</v>
      </c>
      <c r="KI183" t="s">
        <v>1</v>
      </c>
      <c r="KJ183" t="s">
        <v>1</v>
      </c>
      <c r="KK183" t="s">
        <v>1</v>
      </c>
    </row>
    <row r="184" spans="1:297" x14ac:dyDescent="0.2">
      <c r="A184" s="3" t="s">
        <v>865</v>
      </c>
      <c r="B184" t="s">
        <v>705</v>
      </c>
      <c r="C184" t="s">
        <v>892</v>
      </c>
      <c r="D184" t="s">
        <v>690</v>
      </c>
      <c r="E184">
        <v>29</v>
      </c>
      <c r="F184" t="s">
        <v>213</v>
      </c>
      <c r="G184" t="s">
        <v>1</v>
      </c>
      <c r="H184" s="26" t="s">
        <v>1420</v>
      </c>
      <c r="I184" t="s">
        <v>1</v>
      </c>
      <c r="J184" t="s">
        <v>1</v>
      </c>
      <c r="K184" t="s">
        <v>1</v>
      </c>
      <c r="L184" t="s">
        <v>1</v>
      </c>
      <c r="M184" t="s">
        <v>1</v>
      </c>
      <c r="N184" t="s">
        <v>1</v>
      </c>
      <c r="O184" t="s">
        <v>1</v>
      </c>
      <c r="P184" t="s">
        <v>1</v>
      </c>
      <c r="Q184" t="s">
        <v>1</v>
      </c>
      <c r="R184" t="s">
        <v>1</v>
      </c>
      <c r="S184" t="s">
        <v>1</v>
      </c>
      <c r="T184" t="s">
        <v>1</v>
      </c>
      <c r="U184" t="s">
        <v>1</v>
      </c>
      <c r="V184" t="s">
        <v>1</v>
      </c>
      <c r="W184" t="s">
        <v>1</v>
      </c>
      <c r="X184" t="s">
        <v>1</v>
      </c>
      <c r="Y184" t="s">
        <v>1</v>
      </c>
      <c r="Z184" t="s">
        <v>1</v>
      </c>
      <c r="AA184" t="s">
        <v>1</v>
      </c>
      <c r="AB184" t="s">
        <v>1</v>
      </c>
      <c r="AC184" t="s">
        <v>1</v>
      </c>
      <c r="AD184" t="s">
        <v>1</v>
      </c>
      <c r="AE184" t="s">
        <v>1</v>
      </c>
      <c r="AF184" t="s">
        <v>1</v>
      </c>
      <c r="AG184" t="s">
        <v>1</v>
      </c>
      <c r="AH184" t="s">
        <v>1</v>
      </c>
      <c r="AI184" t="s">
        <v>1</v>
      </c>
      <c r="AJ184" t="s">
        <v>1</v>
      </c>
      <c r="AK184" t="s">
        <v>1</v>
      </c>
      <c r="AL184" t="s">
        <v>1</v>
      </c>
      <c r="AM184" t="s">
        <v>1</v>
      </c>
      <c r="AN184" s="3" t="s">
        <v>865</v>
      </c>
      <c r="AO184" t="str">
        <f t="shared" si="12"/>
        <v>180-6</v>
      </c>
      <c r="AP184">
        <f t="shared" si="10"/>
        <v>29</v>
      </c>
      <c r="AQ184">
        <f t="shared" si="11"/>
        <v>29</v>
      </c>
      <c r="AR184" t="s">
        <v>1355</v>
      </c>
      <c r="AS184" t="s">
        <v>1356</v>
      </c>
      <c r="AT184" t="s">
        <v>714</v>
      </c>
      <c r="AU184" t="s">
        <v>1</v>
      </c>
      <c r="AV184" t="s">
        <v>1</v>
      </c>
      <c r="AW184">
        <v>58.37</v>
      </c>
      <c r="AX184">
        <v>13.48</v>
      </c>
      <c r="AY184" t="s">
        <v>737</v>
      </c>
      <c r="AZ184">
        <f t="shared" si="19"/>
        <v>5.3999999999999999E-2</v>
      </c>
      <c r="BA184" s="3">
        <f t="shared" si="20"/>
        <v>6</v>
      </c>
      <c r="BB184" s="10" t="s">
        <v>1355</v>
      </c>
      <c r="BC184" t="s">
        <v>1461</v>
      </c>
      <c r="BD184" s="30">
        <v>38217</v>
      </c>
      <c r="BE184" s="3" t="s">
        <v>932</v>
      </c>
      <c r="BF184" s="30">
        <v>38575</v>
      </c>
      <c r="BG184" s="19" t="s">
        <v>934</v>
      </c>
      <c r="BH184" s="19" t="s">
        <v>934</v>
      </c>
      <c r="BI184" s="19" t="s">
        <v>945</v>
      </c>
      <c r="BJ184" s="19" t="s">
        <v>934</v>
      </c>
      <c r="BK184" s="19" t="s">
        <v>945</v>
      </c>
      <c r="BL184" s="19" t="s">
        <v>945</v>
      </c>
      <c r="BM184" s="19" t="s">
        <v>945</v>
      </c>
      <c r="BN184" s="19" t="s">
        <v>934</v>
      </c>
      <c r="BO184" s="19" t="s">
        <v>934</v>
      </c>
      <c r="BP184" s="19" t="s">
        <v>945</v>
      </c>
      <c r="BQ184" s="24" t="s">
        <v>945</v>
      </c>
      <c r="BR184" s="24" t="s">
        <v>945</v>
      </c>
      <c r="BS184" s="24" t="s">
        <v>934</v>
      </c>
      <c r="BT184" s="24" t="s">
        <v>934</v>
      </c>
      <c r="BU184" s="24" t="s">
        <v>934</v>
      </c>
      <c r="BV184" s="24" t="s">
        <v>934</v>
      </c>
      <c r="BW184" s="24" t="s">
        <v>934</v>
      </c>
      <c r="BX184" s="24" t="s">
        <v>934</v>
      </c>
      <c r="BY184" s="25" t="s">
        <v>945</v>
      </c>
      <c r="BZ184" t="s">
        <v>1393</v>
      </c>
      <c r="CA184" t="s">
        <v>935</v>
      </c>
      <c r="CB184" t="s">
        <v>1</v>
      </c>
      <c r="CC184" s="4" t="s">
        <v>1</v>
      </c>
      <c r="CD184" s="4">
        <v>3</v>
      </c>
      <c r="CE184" s="4" t="s">
        <v>984</v>
      </c>
      <c r="CF184" t="s">
        <v>1</v>
      </c>
      <c r="CG184" t="s">
        <v>1</v>
      </c>
      <c r="CH184" t="s">
        <v>1</v>
      </c>
      <c r="CI184" s="28" t="s">
        <v>1</v>
      </c>
      <c r="CJ184" s="10" t="s">
        <v>1</v>
      </c>
      <c r="CK184" s="9" t="s">
        <v>1</v>
      </c>
      <c r="CL184" s="4" t="s">
        <v>1</v>
      </c>
      <c r="CM184" t="s">
        <v>1024</v>
      </c>
      <c r="CN184" s="4" t="s">
        <v>1027</v>
      </c>
      <c r="CO184" s="22" t="s">
        <v>1028</v>
      </c>
      <c r="CP184" s="4" t="s">
        <v>1</v>
      </c>
      <c r="CQ184" s="4" t="s">
        <v>1</v>
      </c>
      <c r="CR184" s="4" t="s">
        <v>1</v>
      </c>
      <c r="CS184" s="4" t="s">
        <v>1</v>
      </c>
      <c r="CT184" s="4" t="s">
        <v>1</v>
      </c>
      <c r="CU184" s="4" t="s">
        <v>1</v>
      </c>
      <c r="CV184" t="s">
        <v>855</v>
      </c>
      <c r="CW184">
        <v>100</v>
      </c>
      <c r="CX184">
        <v>0</v>
      </c>
      <c r="CY184">
        <v>30</v>
      </c>
      <c r="CZ184" t="s">
        <v>1358</v>
      </c>
      <c r="DA184" t="s">
        <v>734</v>
      </c>
      <c r="DB184">
        <v>64</v>
      </c>
      <c r="DC184">
        <v>0</v>
      </c>
      <c r="DD184">
        <v>30</v>
      </c>
      <c r="DE184" t="s">
        <v>1358</v>
      </c>
      <c r="DF184" t="s">
        <v>735</v>
      </c>
      <c r="DG184">
        <v>22</v>
      </c>
      <c r="DH184">
        <v>0</v>
      </c>
      <c r="DI184">
        <v>30</v>
      </c>
      <c r="DJ184" t="s">
        <v>1358</v>
      </c>
      <c r="DK184" t="s">
        <v>736</v>
      </c>
      <c r="DL184">
        <v>14</v>
      </c>
      <c r="DM184">
        <v>0</v>
      </c>
      <c r="DN184">
        <v>30</v>
      </c>
      <c r="DO184" t="s">
        <v>1358</v>
      </c>
      <c r="DP184" t="s">
        <v>6</v>
      </c>
      <c r="DQ184" t="s">
        <v>813</v>
      </c>
      <c r="DR184">
        <v>6.4</v>
      </c>
      <c r="DS184">
        <v>0</v>
      </c>
      <c r="DT184">
        <v>30</v>
      </c>
      <c r="DU184" t="s">
        <v>1358</v>
      </c>
      <c r="DV184" t="s">
        <v>980</v>
      </c>
      <c r="DW184">
        <v>28</v>
      </c>
      <c r="DX184">
        <v>0</v>
      </c>
      <c r="DY184">
        <v>30</v>
      </c>
      <c r="DZ184" t="s">
        <v>1358</v>
      </c>
      <c r="EA184" t="s">
        <v>982</v>
      </c>
      <c r="EB184">
        <v>16</v>
      </c>
      <c r="EC184">
        <v>0</v>
      </c>
      <c r="ED184">
        <v>30</v>
      </c>
      <c r="EE184" t="s">
        <v>1358</v>
      </c>
      <c r="EG184" t="s">
        <v>981</v>
      </c>
      <c r="EH184">
        <f t="shared" si="21"/>
        <v>1.4</v>
      </c>
      <c r="EI184">
        <v>0</v>
      </c>
      <c r="EJ184">
        <v>30</v>
      </c>
      <c r="EK184" t="s">
        <v>1358</v>
      </c>
      <c r="EL184" t="s">
        <v>734</v>
      </c>
      <c r="EM184">
        <v>71</v>
      </c>
      <c r="EN184">
        <v>30</v>
      </c>
      <c r="EO184">
        <v>60</v>
      </c>
      <c r="EP184" t="s">
        <v>1358</v>
      </c>
      <c r="EQ184" t="s">
        <v>735</v>
      </c>
      <c r="ER184">
        <v>17</v>
      </c>
      <c r="ES184">
        <v>30</v>
      </c>
      <c r="ET184">
        <v>60</v>
      </c>
      <c r="EU184" t="s">
        <v>1358</v>
      </c>
      <c r="EV184" t="s">
        <v>736</v>
      </c>
      <c r="EW184">
        <v>12</v>
      </c>
      <c r="EX184">
        <v>30</v>
      </c>
      <c r="EY184">
        <v>60</v>
      </c>
      <c r="EZ184" t="s">
        <v>1358</v>
      </c>
      <c r="FA184" t="s">
        <v>980</v>
      </c>
      <c r="FB184">
        <v>25</v>
      </c>
      <c r="FC184">
        <v>30</v>
      </c>
      <c r="FD184">
        <v>60</v>
      </c>
      <c r="FE184" t="s">
        <v>1358</v>
      </c>
      <c r="FF184" t="s">
        <v>734</v>
      </c>
      <c r="FG184">
        <f t="shared" si="22"/>
        <v>67.34</v>
      </c>
      <c r="FH184">
        <v>60</v>
      </c>
      <c r="FI184">
        <v>90</v>
      </c>
      <c r="FJ184" t="s">
        <v>1358</v>
      </c>
      <c r="FK184" t="s">
        <v>735</v>
      </c>
      <c r="FL184">
        <f t="shared" si="23"/>
        <v>20.100000000000001</v>
      </c>
      <c r="FM184">
        <v>60</v>
      </c>
      <c r="FN184">
        <v>90</v>
      </c>
      <c r="FO184" t="s">
        <v>1358</v>
      </c>
      <c r="FP184" t="s">
        <v>736</v>
      </c>
      <c r="FQ184">
        <f t="shared" si="24"/>
        <v>12.56</v>
      </c>
      <c r="FR184">
        <v>60</v>
      </c>
      <c r="FS184">
        <v>90</v>
      </c>
      <c r="FT184" t="s">
        <v>1358</v>
      </c>
      <c r="FU184" t="s">
        <v>980</v>
      </c>
      <c r="FV184">
        <v>25</v>
      </c>
      <c r="FW184">
        <v>60</v>
      </c>
      <c r="FX184">
        <v>90</v>
      </c>
      <c r="FY184" t="s">
        <v>1358</v>
      </c>
      <c r="FZ184" t="s">
        <v>957</v>
      </c>
      <c r="GA184" t="s">
        <v>958</v>
      </c>
      <c r="GB184" t="s">
        <v>959</v>
      </c>
      <c r="GC184" t="s">
        <v>1</v>
      </c>
      <c r="GD184" t="s">
        <v>1</v>
      </c>
      <c r="GE184" s="26" t="s">
        <v>1358</v>
      </c>
      <c r="GF184" t="s">
        <v>957</v>
      </c>
      <c r="GG184" t="s">
        <v>961</v>
      </c>
      <c r="GH184" t="s">
        <v>960</v>
      </c>
      <c r="GI184" s="20">
        <v>1961</v>
      </c>
      <c r="GJ184" s="20">
        <v>1990</v>
      </c>
      <c r="GK184" s="26" t="s">
        <v>1358</v>
      </c>
      <c r="GL184" t="s">
        <v>953</v>
      </c>
      <c r="GM184" t="s">
        <v>955</v>
      </c>
      <c r="GN184" t="s">
        <v>954</v>
      </c>
      <c r="GO184" s="5" t="s">
        <v>956</v>
      </c>
      <c r="GP184" s="5" t="s">
        <v>1382</v>
      </c>
      <c r="GQ184" s="5" t="s">
        <v>962</v>
      </c>
      <c r="GR184" s="5" t="s">
        <v>963</v>
      </c>
      <c r="GS184" s="5" t="s">
        <v>959</v>
      </c>
      <c r="GT184" s="26" t="s">
        <v>1358</v>
      </c>
      <c r="GU184" s="5" t="s">
        <v>962</v>
      </c>
      <c r="GV184" s="5" t="s">
        <v>964</v>
      </c>
      <c r="GW184" s="5" t="s">
        <v>960</v>
      </c>
      <c r="GX184" s="20">
        <v>1961</v>
      </c>
      <c r="GY184" s="20">
        <v>1990</v>
      </c>
      <c r="GZ184" s="26" t="s">
        <v>1358</v>
      </c>
      <c r="HA184" s="5" t="s">
        <v>1</v>
      </c>
      <c r="HB184" s="5" t="s">
        <v>1</v>
      </c>
      <c r="HC184" s="5" t="s">
        <v>1</v>
      </c>
      <c r="HD184" s="5" t="s">
        <v>1</v>
      </c>
      <c r="HE184" t="s">
        <v>1</v>
      </c>
      <c r="HF184" s="5" t="s">
        <v>1</v>
      </c>
      <c r="HG184" s="5" t="s">
        <v>1</v>
      </c>
      <c r="HH184" s="5" t="s">
        <v>1</v>
      </c>
      <c r="HI184" s="5" t="s">
        <v>1</v>
      </c>
      <c r="HJ184" t="s">
        <v>1</v>
      </c>
      <c r="HK184" t="s">
        <v>1</v>
      </c>
      <c r="HL184" t="s">
        <v>1</v>
      </c>
      <c r="HM184" t="s">
        <v>1</v>
      </c>
      <c r="HN184" t="s">
        <v>1</v>
      </c>
      <c r="HO184" t="s">
        <v>1</v>
      </c>
      <c r="HP184" t="s">
        <v>1</v>
      </c>
      <c r="HQ184" t="s">
        <v>983</v>
      </c>
      <c r="HR184" t="s">
        <v>1035</v>
      </c>
      <c r="HS184" s="5" t="s">
        <v>1039</v>
      </c>
      <c r="HT184" s="28" t="s">
        <v>1425</v>
      </c>
      <c r="HU184" s="5" t="s">
        <v>842</v>
      </c>
      <c r="HV184" s="5" t="s">
        <v>1358</v>
      </c>
      <c r="HW184" t="s">
        <v>937</v>
      </c>
      <c r="HX184">
        <v>4</v>
      </c>
      <c r="HY184" s="30">
        <v>38217</v>
      </c>
      <c r="HZ184" t="s">
        <v>1295</v>
      </c>
      <c r="IA184">
        <f>60+100</f>
        <v>160</v>
      </c>
      <c r="IB184" s="10" t="s">
        <v>1</v>
      </c>
      <c r="IC184" s="10">
        <v>15</v>
      </c>
      <c r="ID184" s="10" t="s">
        <v>984</v>
      </c>
      <c r="IE184" s="10" t="s">
        <v>1</v>
      </c>
      <c r="IF184" s="10" t="s">
        <v>1</v>
      </c>
      <c r="IG184" t="s">
        <v>1310</v>
      </c>
      <c r="IH184" s="10">
        <f t="shared" si="17"/>
        <v>114.5</v>
      </c>
      <c r="II184" s="10" t="s">
        <v>1</v>
      </c>
      <c r="IJ184" s="10" t="s">
        <v>1</v>
      </c>
      <c r="IK184" t="s">
        <v>1311</v>
      </c>
      <c r="IL184" s="10">
        <f t="shared" si="18"/>
        <v>67.2</v>
      </c>
      <c r="IM184" s="10" t="s">
        <v>1</v>
      </c>
      <c r="IN184" s="10" t="s">
        <v>1</v>
      </c>
      <c r="IO184" s="10" t="s">
        <v>1319</v>
      </c>
      <c r="IP184" s="10">
        <v>15</v>
      </c>
      <c r="IQ184" s="10" t="s">
        <v>1</v>
      </c>
      <c r="IR184" s="10" t="s">
        <v>1</v>
      </c>
      <c r="IS184" t="s">
        <v>1</v>
      </c>
      <c r="IT184" t="s">
        <v>1</v>
      </c>
      <c r="IW184" t="s">
        <v>1</v>
      </c>
      <c r="IX184" t="s">
        <v>1</v>
      </c>
      <c r="IY184" t="s">
        <v>1</v>
      </c>
      <c r="IZ184" t="s">
        <v>1</v>
      </c>
      <c r="JA184" t="s">
        <v>1</v>
      </c>
      <c r="JB184" s="3" t="s">
        <v>1</v>
      </c>
      <c r="JC184" t="s">
        <v>1</v>
      </c>
      <c r="JD184" s="4" t="s">
        <v>1</v>
      </c>
      <c r="JE184" t="s">
        <v>810</v>
      </c>
      <c r="JF184">
        <v>100</v>
      </c>
      <c r="JG184" t="s">
        <v>859</v>
      </c>
      <c r="JH184" t="s">
        <v>1387</v>
      </c>
      <c r="JI184" t="s">
        <v>946</v>
      </c>
      <c r="JJ184" t="s">
        <v>1421</v>
      </c>
      <c r="JK184" s="31" t="s">
        <v>1</v>
      </c>
      <c r="JL184" t="s">
        <v>947</v>
      </c>
      <c r="JM184" t="s">
        <v>948</v>
      </c>
      <c r="JN184" t="s">
        <v>1050</v>
      </c>
      <c r="JO184" s="30">
        <v>38217</v>
      </c>
      <c r="JP184" t="s">
        <v>1051</v>
      </c>
      <c r="JQ184" t="s">
        <v>1057</v>
      </c>
      <c r="JR184" t="s">
        <v>1066</v>
      </c>
      <c r="JS184" t="s">
        <v>991</v>
      </c>
      <c r="JT184" t="s">
        <v>985</v>
      </c>
      <c r="JU184" t="s">
        <v>1</v>
      </c>
      <c r="JV184" t="s">
        <v>1426</v>
      </c>
      <c r="JW184" t="s">
        <v>842</v>
      </c>
      <c r="JX184">
        <v>0</v>
      </c>
      <c r="JY184">
        <v>80</v>
      </c>
      <c r="JZ184" t="s">
        <v>800</v>
      </c>
      <c r="KA184" t="s">
        <v>206</v>
      </c>
      <c r="KB184" t="s">
        <v>738</v>
      </c>
      <c r="KC184" t="s">
        <v>1</v>
      </c>
      <c r="KD184" t="s">
        <v>1</v>
      </c>
      <c r="KE184" t="s">
        <v>1</v>
      </c>
      <c r="KF184" t="s">
        <v>1</v>
      </c>
      <c r="KG184" t="s">
        <v>1</v>
      </c>
      <c r="KH184" t="s">
        <v>1</v>
      </c>
      <c r="KI184" t="s">
        <v>1</v>
      </c>
      <c r="KJ184" t="s">
        <v>1</v>
      </c>
      <c r="KK184" t="s">
        <v>1</v>
      </c>
    </row>
    <row r="185" spans="1:297" x14ac:dyDescent="0.2">
      <c r="A185" s="3" t="s">
        <v>866</v>
      </c>
      <c r="B185" t="s">
        <v>705</v>
      </c>
      <c r="C185" t="s">
        <v>893</v>
      </c>
      <c r="D185" t="s">
        <v>690</v>
      </c>
      <c r="E185">
        <v>29</v>
      </c>
      <c r="F185" t="s">
        <v>213</v>
      </c>
      <c r="G185" t="s">
        <v>1</v>
      </c>
      <c r="H185" s="26" t="s">
        <v>1420</v>
      </c>
      <c r="I185" t="s">
        <v>1</v>
      </c>
      <c r="J185" t="s">
        <v>1</v>
      </c>
      <c r="K185" t="s">
        <v>1</v>
      </c>
      <c r="L185" t="s">
        <v>1</v>
      </c>
      <c r="M185" t="s">
        <v>1</v>
      </c>
      <c r="N185" t="s">
        <v>1</v>
      </c>
      <c r="O185" t="s">
        <v>1</v>
      </c>
      <c r="P185" t="s">
        <v>1</v>
      </c>
      <c r="Q185" t="s">
        <v>1</v>
      </c>
      <c r="R185" t="s">
        <v>1</v>
      </c>
      <c r="S185" t="s">
        <v>1</v>
      </c>
      <c r="T185" t="s">
        <v>1</v>
      </c>
      <c r="U185" t="s">
        <v>1</v>
      </c>
      <c r="V185" t="s">
        <v>1</v>
      </c>
      <c r="W185" t="s">
        <v>1</v>
      </c>
      <c r="X185" t="s">
        <v>1</v>
      </c>
      <c r="Y185" t="s">
        <v>1</v>
      </c>
      <c r="Z185" t="s">
        <v>1</v>
      </c>
      <c r="AA185" t="s">
        <v>1</v>
      </c>
      <c r="AB185" t="s">
        <v>1</v>
      </c>
      <c r="AC185" t="s">
        <v>1</v>
      </c>
      <c r="AD185" t="s">
        <v>1</v>
      </c>
      <c r="AE185" t="s">
        <v>1</v>
      </c>
      <c r="AF185" t="s">
        <v>1</v>
      </c>
      <c r="AG185" t="s">
        <v>1</v>
      </c>
      <c r="AH185" t="s">
        <v>1</v>
      </c>
      <c r="AI185" t="s">
        <v>1</v>
      </c>
      <c r="AJ185" t="s">
        <v>1</v>
      </c>
      <c r="AK185" t="s">
        <v>1</v>
      </c>
      <c r="AL185" t="s">
        <v>1</v>
      </c>
      <c r="AM185" t="s">
        <v>1</v>
      </c>
      <c r="AN185" s="3" t="s">
        <v>866</v>
      </c>
      <c r="AO185" t="str">
        <f t="shared" si="12"/>
        <v>180-7</v>
      </c>
      <c r="AP185">
        <f t="shared" si="10"/>
        <v>29</v>
      </c>
      <c r="AQ185">
        <f t="shared" si="11"/>
        <v>29</v>
      </c>
      <c r="AR185" t="s">
        <v>1355</v>
      </c>
      <c r="AS185" t="s">
        <v>1356</v>
      </c>
      <c r="AT185" t="s">
        <v>714</v>
      </c>
      <c r="AU185" t="s">
        <v>1</v>
      </c>
      <c r="AV185" t="s">
        <v>1</v>
      </c>
      <c r="AW185">
        <v>58.37</v>
      </c>
      <c r="AX185">
        <v>13.48</v>
      </c>
      <c r="AY185" t="s">
        <v>737</v>
      </c>
      <c r="AZ185">
        <f t="shared" si="19"/>
        <v>5.3999999999999999E-2</v>
      </c>
      <c r="BA185" s="3">
        <f t="shared" si="20"/>
        <v>6</v>
      </c>
      <c r="BB185" s="10" t="s">
        <v>1355</v>
      </c>
      <c r="BC185" t="s">
        <v>1461</v>
      </c>
      <c r="BD185" s="30">
        <v>38217</v>
      </c>
      <c r="BE185" s="3" t="s">
        <v>932</v>
      </c>
      <c r="BF185" s="30">
        <v>38575</v>
      </c>
      <c r="BG185" s="19" t="s">
        <v>934</v>
      </c>
      <c r="BH185" s="19" t="s">
        <v>934</v>
      </c>
      <c r="BI185" s="19" t="s">
        <v>945</v>
      </c>
      <c r="BJ185" s="19" t="s">
        <v>934</v>
      </c>
      <c r="BK185" s="19" t="s">
        <v>945</v>
      </c>
      <c r="BL185" s="19" t="s">
        <v>945</v>
      </c>
      <c r="BM185" s="19" t="s">
        <v>945</v>
      </c>
      <c r="BN185" s="19" t="s">
        <v>934</v>
      </c>
      <c r="BO185" s="19" t="s">
        <v>934</v>
      </c>
      <c r="BP185" s="19" t="s">
        <v>945</v>
      </c>
      <c r="BQ185" s="24" t="s">
        <v>945</v>
      </c>
      <c r="BR185" s="24" t="s">
        <v>945</v>
      </c>
      <c r="BS185" s="24" t="s">
        <v>934</v>
      </c>
      <c r="BT185" s="24" t="s">
        <v>934</v>
      </c>
      <c r="BU185" s="24" t="s">
        <v>934</v>
      </c>
      <c r="BV185" s="24" t="s">
        <v>934</v>
      </c>
      <c r="BW185" s="24" t="s">
        <v>934</v>
      </c>
      <c r="BX185" s="24" t="s">
        <v>934</v>
      </c>
      <c r="BY185" s="25" t="s">
        <v>945</v>
      </c>
      <c r="BZ185" t="s">
        <v>1393</v>
      </c>
      <c r="CA185" t="s">
        <v>935</v>
      </c>
      <c r="CB185" t="s">
        <v>1</v>
      </c>
      <c r="CC185" s="4" t="s">
        <v>1</v>
      </c>
      <c r="CD185" s="4">
        <v>3</v>
      </c>
      <c r="CE185" s="4" t="s">
        <v>984</v>
      </c>
      <c r="CF185" t="s">
        <v>1</v>
      </c>
      <c r="CG185" t="s">
        <v>1</v>
      </c>
      <c r="CH185" t="s">
        <v>1</v>
      </c>
      <c r="CI185" s="28" t="s">
        <v>1</v>
      </c>
      <c r="CJ185" s="10" t="s">
        <v>1</v>
      </c>
      <c r="CK185" s="9" t="s">
        <v>1</v>
      </c>
      <c r="CL185" s="4" t="s">
        <v>1</v>
      </c>
      <c r="CM185" t="s">
        <v>1024</v>
      </c>
      <c r="CN185" s="4" t="s">
        <v>1027</v>
      </c>
      <c r="CO185" s="22" t="s">
        <v>1028</v>
      </c>
      <c r="CP185" s="4" t="s">
        <v>1</v>
      </c>
      <c r="CQ185" s="4" t="s">
        <v>1</v>
      </c>
      <c r="CR185" s="4" t="s">
        <v>1</v>
      </c>
      <c r="CS185" s="4" t="s">
        <v>1</v>
      </c>
      <c r="CT185" s="4" t="s">
        <v>1</v>
      </c>
      <c r="CU185" s="4" t="s">
        <v>1</v>
      </c>
      <c r="CV185" t="s">
        <v>855</v>
      </c>
      <c r="CW185">
        <v>100</v>
      </c>
      <c r="CX185">
        <v>0</v>
      </c>
      <c r="CY185">
        <v>30</v>
      </c>
      <c r="CZ185" t="s">
        <v>1358</v>
      </c>
      <c r="DA185" t="s">
        <v>734</v>
      </c>
      <c r="DB185">
        <v>64</v>
      </c>
      <c r="DC185">
        <v>0</v>
      </c>
      <c r="DD185">
        <v>30</v>
      </c>
      <c r="DE185" t="s">
        <v>1358</v>
      </c>
      <c r="DF185" t="s">
        <v>735</v>
      </c>
      <c r="DG185">
        <v>22</v>
      </c>
      <c r="DH185">
        <v>0</v>
      </c>
      <c r="DI185">
        <v>30</v>
      </c>
      <c r="DJ185" t="s">
        <v>1358</v>
      </c>
      <c r="DK185" t="s">
        <v>736</v>
      </c>
      <c r="DL185">
        <v>14</v>
      </c>
      <c r="DM185">
        <v>0</v>
      </c>
      <c r="DN185">
        <v>30</v>
      </c>
      <c r="DO185" t="s">
        <v>1358</v>
      </c>
      <c r="DP185" t="s">
        <v>6</v>
      </c>
      <c r="DQ185" t="s">
        <v>813</v>
      </c>
      <c r="DR185">
        <v>6.4</v>
      </c>
      <c r="DS185">
        <v>0</v>
      </c>
      <c r="DT185">
        <v>30</v>
      </c>
      <c r="DU185" t="s">
        <v>1358</v>
      </c>
      <c r="DV185" t="s">
        <v>980</v>
      </c>
      <c r="DW185">
        <v>28</v>
      </c>
      <c r="DX185">
        <v>0</v>
      </c>
      <c r="DY185">
        <v>30</v>
      </c>
      <c r="DZ185" t="s">
        <v>1358</v>
      </c>
      <c r="EA185" t="s">
        <v>982</v>
      </c>
      <c r="EB185">
        <v>16</v>
      </c>
      <c r="EC185">
        <v>0</v>
      </c>
      <c r="ED185">
        <v>30</v>
      </c>
      <c r="EE185" t="s">
        <v>1358</v>
      </c>
      <c r="EG185" t="s">
        <v>981</v>
      </c>
      <c r="EH185">
        <f t="shared" si="21"/>
        <v>1.4</v>
      </c>
      <c r="EI185">
        <v>0</v>
      </c>
      <c r="EJ185">
        <v>30</v>
      </c>
      <c r="EK185" t="s">
        <v>1358</v>
      </c>
      <c r="EL185" t="s">
        <v>734</v>
      </c>
      <c r="EM185">
        <v>71</v>
      </c>
      <c r="EN185">
        <v>30</v>
      </c>
      <c r="EO185">
        <v>60</v>
      </c>
      <c r="EP185" t="s">
        <v>1358</v>
      </c>
      <c r="EQ185" t="s">
        <v>735</v>
      </c>
      <c r="ER185">
        <v>17</v>
      </c>
      <c r="ES185">
        <v>30</v>
      </c>
      <c r="ET185">
        <v>60</v>
      </c>
      <c r="EU185" t="s">
        <v>1358</v>
      </c>
      <c r="EV185" t="s">
        <v>736</v>
      </c>
      <c r="EW185">
        <v>12</v>
      </c>
      <c r="EX185">
        <v>30</v>
      </c>
      <c r="EY185">
        <v>60</v>
      </c>
      <c r="EZ185" t="s">
        <v>1358</v>
      </c>
      <c r="FA185" t="s">
        <v>980</v>
      </c>
      <c r="FB185">
        <v>25</v>
      </c>
      <c r="FC185">
        <v>30</v>
      </c>
      <c r="FD185">
        <v>60</v>
      </c>
      <c r="FE185" t="s">
        <v>1358</v>
      </c>
      <c r="FF185" t="s">
        <v>734</v>
      </c>
      <c r="FG185">
        <f t="shared" si="22"/>
        <v>67.34</v>
      </c>
      <c r="FH185">
        <v>60</v>
      </c>
      <c r="FI185">
        <v>90</v>
      </c>
      <c r="FJ185" t="s">
        <v>1358</v>
      </c>
      <c r="FK185" t="s">
        <v>735</v>
      </c>
      <c r="FL185">
        <f t="shared" si="23"/>
        <v>20.100000000000001</v>
      </c>
      <c r="FM185">
        <v>60</v>
      </c>
      <c r="FN185">
        <v>90</v>
      </c>
      <c r="FO185" t="s">
        <v>1358</v>
      </c>
      <c r="FP185" t="s">
        <v>736</v>
      </c>
      <c r="FQ185">
        <f t="shared" si="24"/>
        <v>12.56</v>
      </c>
      <c r="FR185">
        <v>60</v>
      </c>
      <c r="FS185">
        <v>90</v>
      </c>
      <c r="FT185" t="s">
        <v>1358</v>
      </c>
      <c r="FU185" t="s">
        <v>980</v>
      </c>
      <c r="FV185">
        <v>25</v>
      </c>
      <c r="FW185">
        <v>60</v>
      </c>
      <c r="FX185">
        <v>90</v>
      </c>
      <c r="FY185" t="s">
        <v>1358</v>
      </c>
      <c r="FZ185" t="s">
        <v>957</v>
      </c>
      <c r="GA185" t="s">
        <v>958</v>
      </c>
      <c r="GB185" t="s">
        <v>959</v>
      </c>
      <c r="GC185" t="s">
        <v>1</v>
      </c>
      <c r="GD185" t="s">
        <v>1</v>
      </c>
      <c r="GE185" s="26" t="s">
        <v>1358</v>
      </c>
      <c r="GF185" t="s">
        <v>957</v>
      </c>
      <c r="GG185" t="s">
        <v>961</v>
      </c>
      <c r="GH185" t="s">
        <v>960</v>
      </c>
      <c r="GI185" s="20">
        <v>1961</v>
      </c>
      <c r="GJ185" s="20">
        <v>1990</v>
      </c>
      <c r="GK185" s="26" t="s">
        <v>1358</v>
      </c>
      <c r="GL185" t="s">
        <v>953</v>
      </c>
      <c r="GM185" t="s">
        <v>955</v>
      </c>
      <c r="GN185" t="s">
        <v>954</v>
      </c>
      <c r="GO185" s="5" t="s">
        <v>956</v>
      </c>
      <c r="GP185" s="5" t="s">
        <v>1382</v>
      </c>
      <c r="GQ185" s="5" t="s">
        <v>962</v>
      </c>
      <c r="GR185" s="5" t="s">
        <v>963</v>
      </c>
      <c r="GS185" s="5" t="s">
        <v>959</v>
      </c>
      <c r="GT185" s="26" t="s">
        <v>1358</v>
      </c>
      <c r="GU185" s="5" t="s">
        <v>962</v>
      </c>
      <c r="GV185" s="5" t="s">
        <v>964</v>
      </c>
      <c r="GW185" s="5" t="s">
        <v>960</v>
      </c>
      <c r="GX185" s="20">
        <v>1961</v>
      </c>
      <c r="GY185" s="20">
        <v>1990</v>
      </c>
      <c r="GZ185" s="26" t="s">
        <v>1358</v>
      </c>
      <c r="HA185" s="5" t="s">
        <v>1</v>
      </c>
      <c r="HB185" s="5" t="s">
        <v>1</v>
      </c>
      <c r="HC185" s="5" t="s">
        <v>1</v>
      </c>
      <c r="HD185" s="5" t="s">
        <v>1</v>
      </c>
      <c r="HE185" t="s">
        <v>1</v>
      </c>
      <c r="HF185" s="5" t="s">
        <v>1</v>
      </c>
      <c r="HG185" s="5" t="s">
        <v>1</v>
      </c>
      <c r="HH185" s="5" t="s">
        <v>1</v>
      </c>
      <c r="HI185" s="5" t="s">
        <v>1</v>
      </c>
      <c r="HJ185" t="s">
        <v>1</v>
      </c>
      <c r="HK185" t="s">
        <v>1</v>
      </c>
      <c r="HL185" t="s">
        <v>1</v>
      </c>
      <c r="HM185" t="s">
        <v>1</v>
      </c>
      <c r="HN185" t="s">
        <v>1</v>
      </c>
      <c r="HO185" t="s">
        <v>1</v>
      </c>
      <c r="HP185" t="s">
        <v>1</v>
      </c>
      <c r="HQ185" t="s">
        <v>983</v>
      </c>
      <c r="HR185" t="s">
        <v>1036</v>
      </c>
      <c r="HS185" s="5" t="s">
        <v>1039</v>
      </c>
      <c r="HT185" s="28" t="s">
        <v>1425</v>
      </c>
      <c r="HU185" s="5" t="s">
        <v>842</v>
      </c>
      <c r="HV185" s="5" t="s">
        <v>1358</v>
      </c>
      <c r="HW185" t="s">
        <v>937</v>
      </c>
      <c r="HX185">
        <v>4</v>
      </c>
      <c r="HY185" s="30">
        <v>38217</v>
      </c>
      <c r="HZ185" t="s">
        <v>1295</v>
      </c>
      <c r="IA185">
        <f>60+150</f>
        <v>210</v>
      </c>
      <c r="IB185" s="10" t="s">
        <v>1</v>
      </c>
      <c r="IC185" s="10">
        <v>15</v>
      </c>
      <c r="ID185" s="10" t="s">
        <v>984</v>
      </c>
      <c r="IE185" s="10" t="s">
        <v>1</v>
      </c>
      <c r="IF185" s="10" t="s">
        <v>1</v>
      </c>
      <c r="IG185" t="s">
        <v>1310</v>
      </c>
      <c r="IH185" s="10">
        <f t="shared" si="17"/>
        <v>114.5</v>
      </c>
      <c r="II185" s="10" t="s">
        <v>1</v>
      </c>
      <c r="IJ185" s="10" t="s">
        <v>1</v>
      </c>
      <c r="IK185" t="s">
        <v>1311</v>
      </c>
      <c r="IL185" s="10">
        <f t="shared" si="18"/>
        <v>67.2</v>
      </c>
      <c r="IM185" s="10" t="s">
        <v>1</v>
      </c>
      <c r="IN185" s="10" t="s">
        <v>1</v>
      </c>
      <c r="IO185" s="10" t="s">
        <v>1319</v>
      </c>
      <c r="IP185" s="10">
        <v>15</v>
      </c>
      <c r="IQ185" s="10" t="s">
        <v>1</v>
      </c>
      <c r="IR185" s="10" t="s">
        <v>1</v>
      </c>
      <c r="IS185" t="s">
        <v>1</v>
      </c>
      <c r="IT185" t="s">
        <v>1</v>
      </c>
      <c r="IW185" t="s">
        <v>1</v>
      </c>
      <c r="IX185" t="s">
        <v>1</v>
      </c>
      <c r="IY185" t="s">
        <v>1</v>
      </c>
      <c r="IZ185" t="s">
        <v>1</v>
      </c>
      <c r="JA185" t="s">
        <v>1</v>
      </c>
      <c r="JB185" s="3" t="s">
        <v>1</v>
      </c>
      <c r="JC185" t="s">
        <v>1</v>
      </c>
      <c r="JD185" s="4" t="s">
        <v>1</v>
      </c>
      <c r="JE185" t="s">
        <v>810</v>
      </c>
      <c r="JF185">
        <v>100</v>
      </c>
      <c r="JG185" t="s">
        <v>859</v>
      </c>
      <c r="JH185" t="s">
        <v>1387</v>
      </c>
      <c r="JI185" t="s">
        <v>946</v>
      </c>
      <c r="JJ185" t="s">
        <v>1421</v>
      </c>
      <c r="JK185" s="31" t="s">
        <v>1</v>
      </c>
      <c r="JL185" t="s">
        <v>947</v>
      </c>
      <c r="JM185" t="s">
        <v>948</v>
      </c>
      <c r="JN185" t="s">
        <v>1050</v>
      </c>
      <c r="JO185" s="30">
        <v>38217</v>
      </c>
      <c r="JP185" t="s">
        <v>1051</v>
      </c>
      <c r="JQ185" t="s">
        <v>1057</v>
      </c>
      <c r="JR185" t="s">
        <v>1066</v>
      </c>
      <c r="JS185" t="s">
        <v>992</v>
      </c>
      <c r="JT185" t="s">
        <v>985</v>
      </c>
      <c r="JU185" t="s">
        <v>1</v>
      </c>
      <c r="JV185" t="s">
        <v>1426</v>
      </c>
      <c r="JW185" t="s">
        <v>842</v>
      </c>
      <c r="JX185">
        <v>0</v>
      </c>
      <c r="JY185">
        <v>80</v>
      </c>
      <c r="JZ185" t="s">
        <v>800</v>
      </c>
      <c r="KA185" t="s">
        <v>206</v>
      </c>
      <c r="KB185" t="s">
        <v>738</v>
      </c>
      <c r="KC185" t="s">
        <v>1</v>
      </c>
      <c r="KD185" t="s">
        <v>1</v>
      </c>
      <c r="KE185" t="s">
        <v>1</v>
      </c>
      <c r="KF185" t="s">
        <v>1</v>
      </c>
      <c r="KG185" t="s">
        <v>1</v>
      </c>
      <c r="KH185" t="s">
        <v>1</v>
      </c>
      <c r="KI185" t="s">
        <v>1</v>
      </c>
      <c r="KJ185" t="s">
        <v>1</v>
      </c>
      <c r="KK185" t="s">
        <v>1</v>
      </c>
    </row>
    <row r="186" spans="1:297" x14ac:dyDescent="0.2">
      <c r="A186" s="3" t="s">
        <v>867</v>
      </c>
      <c r="B186" t="s">
        <v>705</v>
      </c>
      <c r="C186" t="s">
        <v>894</v>
      </c>
      <c r="D186" t="s">
        <v>690</v>
      </c>
      <c r="E186">
        <v>29</v>
      </c>
      <c r="F186" t="s">
        <v>213</v>
      </c>
      <c r="G186" t="s">
        <v>1</v>
      </c>
      <c r="H186" s="26" t="s">
        <v>1420</v>
      </c>
      <c r="I186" t="s">
        <v>1</v>
      </c>
      <c r="J186" t="s">
        <v>1</v>
      </c>
      <c r="K186" t="s">
        <v>1</v>
      </c>
      <c r="L186" t="s">
        <v>1</v>
      </c>
      <c r="M186" t="s">
        <v>1</v>
      </c>
      <c r="N186" t="s">
        <v>1</v>
      </c>
      <c r="O186" t="s">
        <v>1</v>
      </c>
      <c r="P186" t="s">
        <v>1</v>
      </c>
      <c r="Q186" t="s">
        <v>1</v>
      </c>
      <c r="R186" t="s">
        <v>1</v>
      </c>
      <c r="S186" t="s">
        <v>1</v>
      </c>
      <c r="T186" t="s">
        <v>1</v>
      </c>
      <c r="U186" t="s">
        <v>1</v>
      </c>
      <c r="V186" t="s">
        <v>1</v>
      </c>
      <c r="W186" t="s">
        <v>1</v>
      </c>
      <c r="X186" t="s">
        <v>1</v>
      </c>
      <c r="Y186" t="s">
        <v>1</v>
      </c>
      <c r="Z186" t="s">
        <v>1</v>
      </c>
      <c r="AA186" t="s">
        <v>1</v>
      </c>
      <c r="AB186" t="s">
        <v>1</v>
      </c>
      <c r="AC186" t="s">
        <v>1</v>
      </c>
      <c r="AD186" t="s">
        <v>1</v>
      </c>
      <c r="AE186" t="s">
        <v>1</v>
      </c>
      <c r="AF186" t="s">
        <v>1</v>
      </c>
      <c r="AG186" t="s">
        <v>1</v>
      </c>
      <c r="AH186" t="s">
        <v>1</v>
      </c>
      <c r="AI186" t="s">
        <v>1</v>
      </c>
      <c r="AJ186" t="s">
        <v>1</v>
      </c>
      <c r="AK186" t="s">
        <v>1</v>
      </c>
      <c r="AL186" t="s">
        <v>1</v>
      </c>
      <c r="AM186" t="s">
        <v>1</v>
      </c>
      <c r="AN186" s="3" t="s">
        <v>867</v>
      </c>
      <c r="AO186" t="str">
        <f t="shared" si="12"/>
        <v>180-8</v>
      </c>
      <c r="AP186">
        <f t="shared" si="10"/>
        <v>29</v>
      </c>
      <c r="AQ186">
        <f t="shared" si="11"/>
        <v>29</v>
      </c>
      <c r="AR186" t="s">
        <v>1355</v>
      </c>
      <c r="AS186" t="s">
        <v>1356</v>
      </c>
      <c r="AT186" t="s">
        <v>714</v>
      </c>
      <c r="AU186" t="s">
        <v>1</v>
      </c>
      <c r="AV186" t="s">
        <v>1</v>
      </c>
      <c r="AW186">
        <v>58.37</v>
      </c>
      <c r="AX186">
        <v>13.48</v>
      </c>
      <c r="AY186" t="s">
        <v>737</v>
      </c>
      <c r="AZ186">
        <f t="shared" si="19"/>
        <v>5.3999999999999999E-2</v>
      </c>
      <c r="BA186" s="3">
        <f t="shared" si="20"/>
        <v>6</v>
      </c>
      <c r="BB186" s="10" t="s">
        <v>1355</v>
      </c>
      <c r="BC186" t="s">
        <v>1461</v>
      </c>
      <c r="BD186" s="30">
        <v>38217</v>
      </c>
      <c r="BE186" s="3" t="s">
        <v>932</v>
      </c>
      <c r="BF186" s="30">
        <v>38575</v>
      </c>
      <c r="BG186" s="19" t="s">
        <v>934</v>
      </c>
      <c r="BH186" s="19" t="s">
        <v>934</v>
      </c>
      <c r="BI186" s="19" t="s">
        <v>945</v>
      </c>
      <c r="BJ186" s="19" t="s">
        <v>934</v>
      </c>
      <c r="BK186" s="19" t="s">
        <v>945</v>
      </c>
      <c r="BL186" s="19" t="s">
        <v>945</v>
      </c>
      <c r="BM186" s="19" t="s">
        <v>945</v>
      </c>
      <c r="BN186" s="19" t="s">
        <v>934</v>
      </c>
      <c r="BO186" s="19" t="s">
        <v>934</v>
      </c>
      <c r="BP186" s="19" t="s">
        <v>945</v>
      </c>
      <c r="BQ186" s="24" t="s">
        <v>945</v>
      </c>
      <c r="BR186" s="24" t="s">
        <v>945</v>
      </c>
      <c r="BS186" s="24" t="s">
        <v>934</v>
      </c>
      <c r="BT186" s="24" t="s">
        <v>934</v>
      </c>
      <c r="BU186" s="24" t="s">
        <v>934</v>
      </c>
      <c r="BV186" s="24" t="s">
        <v>934</v>
      </c>
      <c r="BW186" s="24" t="s">
        <v>934</v>
      </c>
      <c r="BX186" s="24" t="s">
        <v>934</v>
      </c>
      <c r="BY186" s="25" t="s">
        <v>945</v>
      </c>
      <c r="BZ186" t="s">
        <v>1393</v>
      </c>
      <c r="CA186" t="s">
        <v>935</v>
      </c>
      <c r="CB186" t="s">
        <v>1</v>
      </c>
      <c r="CC186" s="4" t="s">
        <v>1</v>
      </c>
      <c r="CD186" s="4">
        <v>3</v>
      </c>
      <c r="CE186" s="4" t="s">
        <v>984</v>
      </c>
      <c r="CF186" t="s">
        <v>1</v>
      </c>
      <c r="CG186" t="s">
        <v>1</v>
      </c>
      <c r="CH186" t="s">
        <v>1</v>
      </c>
      <c r="CI186" s="28" t="s">
        <v>1</v>
      </c>
      <c r="CJ186" s="10" t="s">
        <v>1</v>
      </c>
      <c r="CK186" s="9" t="s">
        <v>1</v>
      </c>
      <c r="CL186" s="4" t="s">
        <v>1</v>
      </c>
      <c r="CM186" t="s">
        <v>1024</v>
      </c>
      <c r="CN186" s="4" t="s">
        <v>1027</v>
      </c>
      <c r="CO186" s="22" t="s">
        <v>1028</v>
      </c>
      <c r="CP186" s="4" t="s">
        <v>1</v>
      </c>
      <c r="CQ186" s="4" t="s">
        <v>1</v>
      </c>
      <c r="CR186" s="4" t="s">
        <v>1</v>
      </c>
      <c r="CS186" s="4" t="s">
        <v>1</v>
      </c>
      <c r="CT186" s="4" t="s">
        <v>1</v>
      </c>
      <c r="CU186" s="4" t="s">
        <v>1</v>
      </c>
      <c r="CV186" t="s">
        <v>855</v>
      </c>
      <c r="CW186">
        <v>100</v>
      </c>
      <c r="CX186">
        <v>0</v>
      </c>
      <c r="CY186">
        <v>30</v>
      </c>
      <c r="CZ186" t="s">
        <v>1358</v>
      </c>
      <c r="DA186" t="s">
        <v>734</v>
      </c>
      <c r="DB186">
        <v>64</v>
      </c>
      <c r="DC186">
        <v>0</v>
      </c>
      <c r="DD186">
        <v>30</v>
      </c>
      <c r="DE186" t="s">
        <v>1358</v>
      </c>
      <c r="DF186" t="s">
        <v>735</v>
      </c>
      <c r="DG186">
        <v>22</v>
      </c>
      <c r="DH186">
        <v>0</v>
      </c>
      <c r="DI186">
        <v>30</v>
      </c>
      <c r="DJ186" t="s">
        <v>1358</v>
      </c>
      <c r="DK186" t="s">
        <v>736</v>
      </c>
      <c r="DL186">
        <v>14</v>
      </c>
      <c r="DM186">
        <v>0</v>
      </c>
      <c r="DN186">
        <v>30</v>
      </c>
      <c r="DO186" t="s">
        <v>1358</v>
      </c>
      <c r="DP186" t="s">
        <v>6</v>
      </c>
      <c r="DQ186" t="s">
        <v>813</v>
      </c>
      <c r="DR186">
        <v>6.4</v>
      </c>
      <c r="DS186">
        <v>0</v>
      </c>
      <c r="DT186">
        <v>30</v>
      </c>
      <c r="DU186" t="s">
        <v>1358</v>
      </c>
      <c r="DV186" t="s">
        <v>980</v>
      </c>
      <c r="DW186">
        <v>28</v>
      </c>
      <c r="DX186">
        <v>0</v>
      </c>
      <c r="DY186">
        <v>30</v>
      </c>
      <c r="DZ186" t="s">
        <v>1358</v>
      </c>
      <c r="EA186" t="s">
        <v>982</v>
      </c>
      <c r="EB186">
        <v>16</v>
      </c>
      <c r="EC186">
        <v>0</v>
      </c>
      <c r="ED186">
        <v>30</v>
      </c>
      <c r="EE186" t="s">
        <v>1358</v>
      </c>
      <c r="EG186" t="s">
        <v>981</v>
      </c>
      <c r="EH186">
        <f t="shared" si="21"/>
        <v>1.4</v>
      </c>
      <c r="EI186">
        <v>0</v>
      </c>
      <c r="EJ186">
        <v>30</v>
      </c>
      <c r="EK186" t="s">
        <v>1358</v>
      </c>
      <c r="EL186" t="s">
        <v>734</v>
      </c>
      <c r="EM186">
        <v>71</v>
      </c>
      <c r="EN186">
        <v>30</v>
      </c>
      <c r="EO186">
        <v>60</v>
      </c>
      <c r="EP186" t="s">
        <v>1358</v>
      </c>
      <c r="EQ186" t="s">
        <v>735</v>
      </c>
      <c r="ER186">
        <v>17</v>
      </c>
      <c r="ES186">
        <v>30</v>
      </c>
      <c r="ET186">
        <v>60</v>
      </c>
      <c r="EU186" t="s">
        <v>1358</v>
      </c>
      <c r="EV186" t="s">
        <v>736</v>
      </c>
      <c r="EW186">
        <v>12</v>
      </c>
      <c r="EX186">
        <v>30</v>
      </c>
      <c r="EY186">
        <v>60</v>
      </c>
      <c r="EZ186" t="s">
        <v>1358</v>
      </c>
      <c r="FA186" t="s">
        <v>980</v>
      </c>
      <c r="FB186">
        <v>25</v>
      </c>
      <c r="FC186">
        <v>30</v>
      </c>
      <c r="FD186">
        <v>60</v>
      </c>
      <c r="FE186" t="s">
        <v>1358</v>
      </c>
      <c r="FF186" t="s">
        <v>734</v>
      </c>
      <c r="FG186">
        <f t="shared" si="22"/>
        <v>67.34</v>
      </c>
      <c r="FH186">
        <v>60</v>
      </c>
      <c r="FI186">
        <v>90</v>
      </c>
      <c r="FJ186" t="s">
        <v>1358</v>
      </c>
      <c r="FK186" t="s">
        <v>735</v>
      </c>
      <c r="FL186">
        <f t="shared" si="23"/>
        <v>20.100000000000001</v>
      </c>
      <c r="FM186">
        <v>60</v>
      </c>
      <c r="FN186">
        <v>90</v>
      </c>
      <c r="FO186" t="s">
        <v>1358</v>
      </c>
      <c r="FP186" t="s">
        <v>736</v>
      </c>
      <c r="FQ186">
        <f t="shared" si="24"/>
        <v>12.56</v>
      </c>
      <c r="FR186">
        <v>60</v>
      </c>
      <c r="FS186">
        <v>90</v>
      </c>
      <c r="FT186" t="s">
        <v>1358</v>
      </c>
      <c r="FU186" t="s">
        <v>980</v>
      </c>
      <c r="FV186">
        <v>25</v>
      </c>
      <c r="FW186">
        <v>60</v>
      </c>
      <c r="FX186">
        <v>90</v>
      </c>
      <c r="FY186" t="s">
        <v>1358</v>
      </c>
      <c r="FZ186" t="s">
        <v>957</v>
      </c>
      <c r="GA186" t="s">
        <v>958</v>
      </c>
      <c r="GB186" t="s">
        <v>959</v>
      </c>
      <c r="GC186" t="s">
        <v>1</v>
      </c>
      <c r="GD186" t="s">
        <v>1</v>
      </c>
      <c r="GE186" s="26" t="s">
        <v>1358</v>
      </c>
      <c r="GF186" t="s">
        <v>957</v>
      </c>
      <c r="GG186" t="s">
        <v>961</v>
      </c>
      <c r="GH186" t="s">
        <v>960</v>
      </c>
      <c r="GI186" s="20">
        <v>1961</v>
      </c>
      <c r="GJ186" s="20">
        <v>1990</v>
      </c>
      <c r="GK186" s="26" t="s">
        <v>1358</v>
      </c>
      <c r="GL186" t="s">
        <v>953</v>
      </c>
      <c r="GM186" t="s">
        <v>955</v>
      </c>
      <c r="GN186" t="s">
        <v>954</v>
      </c>
      <c r="GO186" s="5" t="s">
        <v>956</v>
      </c>
      <c r="GP186" s="5" t="s">
        <v>1382</v>
      </c>
      <c r="GQ186" s="5" t="s">
        <v>962</v>
      </c>
      <c r="GR186" s="5" t="s">
        <v>963</v>
      </c>
      <c r="GS186" s="5" t="s">
        <v>959</v>
      </c>
      <c r="GT186" s="26" t="s">
        <v>1358</v>
      </c>
      <c r="GU186" s="5" t="s">
        <v>962</v>
      </c>
      <c r="GV186" s="5" t="s">
        <v>964</v>
      </c>
      <c r="GW186" s="5" t="s">
        <v>960</v>
      </c>
      <c r="GX186" s="20">
        <v>1961</v>
      </c>
      <c r="GY186" s="20">
        <v>1990</v>
      </c>
      <c r="GZ186" s="26" t="s">
        <v>1358</v>
      </c>
      <c r="HA186" s="5" t="s">
        <v>1</v>
      </c>
      <c r="HB186" s="5" t="s">
        <v>1</v>
      </c>
      <c r="HC186" s="5" t="s">
        <v>1</v>
      </c>
      <c r="HD186" s="5" t="s">
        <v>1</v>
      </c>
      <c r="HE186" t="s">
        <v>1</v>
      </c>
      <c r="HF186" s="5" t="s">
        <v>1</v>
      </c>
      <c r="HG186" s="5" t="s">
        <v>1</v>
      </c>
      <c r="HH186" s="5" t="s">
        <v>1</v>
      </c>
      <c r="HI186" s="5" t="s">
        <v>1</v>
      </c>
      <c r="HJ186" t="s">
        <v>1</v>
      </c>
      <c r="HK186" t="s">
        <v>1</v>
      </c>
      <c r="HL186" t="s">
        <v>1</v>
      </c>
      <c r="HM186" t="s">
        <v>1</v>
      </c>
      <c r="HN186" t="s">
        <v>1</v>
      </c>
      <c r="HO186" t="s">
        <v>1</v>
      </c>
      <c r="HP186" t="s">
        <v>1</v>
      </c>
      <c r="HQ186" t="s">
        <v>983</v>
      </c>
      <c r="HR186" t="s">
        <v>1037</v>
      </c>
      <c r="HS186" s="5" t="s">
        <v>1039</v>
      </c>
      <c r="HT186" s="28" t="s">
        <v>1425</v>
      </c>
      <c r="HU186" s="5" t="s">
        <v>842</v>
      </c>
      <c r="HV186" s="5" t="s">
        <v>1358</v>
      </c>
      <c r="HW186" t="s">
        <v>937</v>
      </c>
      <c r="HX186">
        <v>4</v>
      </c>
      <c r="HY186" s="30">
        <v>38217</v>
      </c>
      <c r="HZ186" t="s">
        <v>1295</v>
      </c>
      <c r="IA186">
        <f>60+200</f>
        <v>260</v>
      </c>
      <c r="IB186" s="10" t="s">
        <v>1</v>
      </c>
      <c r="IC186" s="10">
        <v>15</v>
      </c>
      <c r="ID186" s="10" t="s">
        <v>984</v>
      </c>
      <c r="IE186" s="10" t="s">
        <v>1</v>
      </c>
      <c r="IF186" s="10" t="s">
        <v>1</v>
      </c>
      <c r="IG186" t="s">
        <v>1310</v>
      </c>
      <c r="IH186" s="10">
        <f t="shared" si="17"/>
        <v>114.5</v>
      </c>
      <c r="II186" s="10" t="s">
        <v>1</v>
      </c>
      <c r="IJ186" s="10" t="s">
        <v>1</v>
      </c>
      <c r="IK186" t="s">
        <v>1311</v>
      </c>
      <c r="IL186" s="10">
        <f t="shared" si="18"/>
        <v>67.2</v>
      </c>
      <c r="IM186" s="10" t="s">
        <v>1</v>
      </c>
      <c r="IN186" s="10" t="s">
        <v>1</v>
      </c>
      <c r="IO186" s="10" t="s">
        <v>1319</v>
      </c>
      <c r="IP186" s="10">
        <v>15</v>
      </c>
      <c r="IQ186" s="10" t="s">
        <v>1</v>
      </c>
      <c r="IR186" s="10" t="s">
        <v>1</v>
      </c>
      <c r="IS186" t="s">
        <v>1</v>
      </c>
      <c r="IT186" t="s">
        <v>1</v>
      </c>
      <c r="IW186" t="s">
        <v>1</v>
      </c>
      <c r="IX186" t="s">
        <v>1</v>
      </c>
      <c r="IY186" t="s">
        <v>1</v>
      </c>
      <c r="IZ186" t="s">
        <v>1</v>
      </c>
      <c r="JA186" t="s">
        <v>1</v>
      </c>
      <c r="JB186" s="3" t="s">
        <v>1</v>
      </c>
      <c r="JC186" t="s">
        <v>1</v>
      </c>
      <c r="JD186" s="4" t="s">
        <v>1</v>
      </c>
      <c r="JE186" t="s">
        <v>810</v>
      </c>
      <c r="JF186">
        <v>100</v>
      </c>
      <c r="JG186" t="s">
        <v>859</v>
      </c>
      <c r="JH186" t="s">
        <v>1387</v>
      </c>
      <c r="JI186" t="s">
        <v>946</v>
      </c>
      <c r="JJ186" t="s">
        <v>1421</v>
      </c>
      <c r="JK186" s="31" t="s">
        <v>1</v>
      </c>
      <c r="JL186" t="s">
        <v>947</v>
      </c>
      <c r="JM186" t="s">
        <v>948</v>
      </c>
      <c r="JN186" t="s">
        <v>1050</v>
      </c>
      <c r="JO186" s="30">
        <v>38217</v>
      </c>
      <c r="JP186" t="s">
        <v>1051</v>
      </c>
      <c r="JQ186" t="s">
        <v>1057</v>
      </c>
      <c r="JR186" t="s">
        <v>1066</v>
      </c>
      <c r="JS186" t="s">
        <v>993</v>
      </c>
      <c r="JT186" t="s">
        <v>985</v>
      </c>
      <c r="JU186" t="s">
        <v>1</v>
      </c>
      <c r="JV186" t="s">
        <v>1426</v>
      </c>
      <c r="JW186" t="s">
        <v>842</v>
      </c>
      <c r="JX186">
        <v>0</v>
      </c>
      <c r="JY186">
        <v>80</v>
      </c>
      <c r="JZ186" t="s">
        <v>800</v>
      </c>
      <c r="KA186" t="s">
        <v>206</v>
      </c>
      <c r="KB186" t="s">
        <v>738</v>
      </c>
      <c r="KC186" t="s">
        <v>1</v>
      </c>
      <c r="KD186" t="s">
        <v>1</v>
      </c>
      <c r="KE186" t="s">
        <v>1</v>
      </c>
      <c r="KF186" t="s">
        <v>1</v>
      </c>
      <c r="KG186" t="s">
        <v>1</v>
      </c>
      <c r="KH186" t="s">
        <v>1</v>
      </c>
      <c r="KI186" t="s">
        <v>1</v>
      </c>
      <c r="KJ186" t="s">
        <v>1</v>
      </c>
      <c r="KK186" t="s">
        <v>1</v>
      </c>
    </row>
    <row r="187" spans="1:297" x14ac:dyDescent="0.2">
      <c r="A187" s="3" t="s">
        <v>868</v>
      </c>
      <c r="B187" t="s">
        <v>705</v>
      </c>
      <c r="C187" t="s">
        <v>895</v>
      </c>
      <c r="D187" t="s">
        <v>690</v>
      </c>
      <c r="E187">
        <v>29</v>
      </c>
      <c r="F187" t="s">
        <v>213</v>
      </c>
      <c r="G187" t="s">
        <v>1</v>
      </c>
      <c r="H187" s="26" t="s">
        <v>1420</v>
      </c>
      <c r="I187" t="s">
        <v>1</v>
      </c>
      <c r="J187" t="s">
        <v>1</v>
      </c>
      <c r="K187" t="s">
        <v>1</v>
      </c>
      <c r="L187" t="s">
        <v>1</v>
      </c>
      <c r="M187" t="s">
        <v>1</v>
      </c>
      <c r="N187" t="s">
        <v>1</v>
      </c>
      <c r="O187" t="s">
        <v>1</v>
      </c>
      <c r="P187" t="s">
        <v>1</v>
      </c>
      <c r="Q187" t="s">
        <v>1</v>
      </c>
      <c r="R187" t="s">
        <v>1</v>
      </c>
      <c r="S187" t="s">
        <v>1</v>
      </c>
      <c r="T187" t="s">
        <v>1</v>
      </c>
      <c r="U187" t="s">
        <v>1</v>
      </c>
      <c r="V187" t="s">
        <v>1</v>
      </c>
      <c r="W187" t="s">
        <v>1</v>
      </c>
      <c r="X187" t="s">
        <v>1</v>
      </c>
      <c r="Y187" t="s">
        <v>1</v>
      </c>
      <c r="Z187" t="s">
        <v>1</v>
      </c>
      <c r="AA187" t="s">
        <v>1</v>
      </c>
      <c r="AB187" t="s">
        <v>1</v>
      </c>
      <c r="AC187" t="s">
        <v>1</v>
      </c>
      <c r="AD187" t="s">
        <v>1</v>
      </c>
      <c r="AE187" t="s">
        <v>1</v>
      </c>
      <c r="AF187" t="s">
        <v>1</v>
      </c>
      <c r="AG187" t="s">
        <v>1</v>
      </c>
      <c r="AH187" t="s">
        <v>1</v>
      </c>
      <c r="AI187" t="s">
        <v>1</v>
      </c>
      <c r="AJ187" t="s">
        <v>1</v>
      </c>
      <c r="AK187" t="s">
        <v>1</v>
      </c>
      <c r="AL187" t="s">
        <v>1</v>
      </c>
      <c r="AM187" t="s">
        <v>1</v>
      </c>
      <c r="AN187" s="3" t="s">
        <v>868</v>
      </c>
      <c r="AO187" t="str">
        <f t="shared" si="12"/>
        <v>180-9</v>
      </c>
      <c r="AP187">
        <f t="shared" si="10"/>
        <v>29</v>
      </c>
      <c r="AQ187">
        <f t="shared" si="11"/>
        <v>29</v>
      </c>
      <c r="AR187" t="s">
        <v>1355</v>
      </c>
      <c r="AS187" t="s">
        <v>1356</v>
      </c>
      <c r="AT187" t="s">
        <v>714</v>
      </c>
      <c r="AU187" t="s">
        <v>1</v>
      </c>
      <c r="AV187" t="s">
        <v>1</v>
      </c>
      <c r="AW187">
        <v>58.37</v>
      </c>
      <c r="AX187">
        <v>13.48</v>
      </c>
      <c r="AY187" t="s">
        <v>737</v>
      </c>
      <c r="AZ187">
        <f t="shared" si="19"/>
        <v>5.3999999999999999E-2</v>
      </c>
      <c r="BA187" s="3">
        <f t="shared" si="20"/>
        <v>6</v>
      </c>
      <c r="BB187" s="10" t="s">
        <v>1355</v>
      </c>
      <c r="BC187" t="s">
        <v>1461</v>
      </c>
      <c r="BD187" s="30">
        <v>38217</v>
      </c>
      <c r="BE187" s="3" t="s">
        <v>932</v>
      </c>
      <c r="BF187" s="30">
        <v>38575</v>
      </c>
      <c r="BG187" s="19" t="s">
        <v>934</v>
      </c>
      <c r="BH187" s="19" t="s">
        <v>934</v>
      </c>
      <c r="BI187" s="19" t="s">
        <v>945</v>
      </c>
      <c r="BJ187" s="19" t="s">
        <v>934</v>
      </c>
      <c r="BK187" s="19" t="s">
        <v>945</v>
      </c>
      <c r="BL187" s="19" t="s">
        <v>945</v>
      </c>
      <c r="BM187" s="19" t="s">
        <v>945</v>
      </c>
      <c r="BN187" s="19" t="s">
        <v>934</v>
      </c>
      <c r="BO187" s="19" t="s">
        <v>934</v>
      </c>
      <c r="BP187" s="19" t="s">
        <v>945</v>
      </c>
      <c r="BQ187" s="24" t="s">
        <v>945</v>
      </c>
      <c r="BR187" s="24" t="s">
        <v>945</v>
      </c>
      <c r="BS187" s="24" t="s">
        <v>934</v>
      </c>
      <c r="BT187" s="24" t="s">
        <v>934</v>
      </c>
      <c r="BU187" s="24" t="s">
        <v>934</v>
      </c>
      <c r="BV187" s="24" t="s">
        <v>934</v>
      </c>
      <c r="BW187" s="24" t="s">
        <v>934</v>
      </c>
      <c r="BX187" s="24" t="s">
        <v>934</v>
      </c>
      <c r="BY187" s="25" t="s">
        <v>945</v>
      </c>
      <c r="BZ187" t="s">
        <v>1393</v>
      </c>
      <c r="CA187" t="s">
        <v>935</v>
      </c>
      <c r="CB187" t="s">
        <v>1</v>
      </c>
      <c r="CC187" s="4" t="s">
        <v>1</v>
      </c>
      <c r="CD187" s="4">
        <v>3</v>
      </c>
      <c r="CE187" s="4" t="s">
        <v>984</v>
      </c>
      <c r="CF187" t="s">
        <v>1</v>
      </c>
      <c r="CG187" t="s">
        <v>1</v>
      </c>
      <c r="CH187" t="s">
        <v>1</v>
      </c>
      <c r="CI187" s="28" t="s">
        <v>1</v>
      </c>
      <c r="CJ187" s="10" t="s">
        <v>1</v>
      </c>
      <c r="CK187" s="9" t="s">
        <v>1</v>
      </c>
      <c r="CL187" s="4" t="s">
        <v>1</v>
      </c>
      <c r="CM187" t="s">
        <v>1024</v>
      </c>
      <c r="CN187" s="4" t="s">
        <v>1027</v>
      </c>
      <c r="CO187" s="22" t="s">
        <v>1028</v>
      </c>
      <c r="CP187" s="4" t="s">
        <v>1</v>
      </c>
      <c r="CQ187" s="4" t="s">
        <v>1</v>
      </c>
      <c r="CR187" s="4" t="s">
        <v>1</v>
      </c>
      <c r="CS187" s="4" t="s">
        <v>1</v>
      </c>
      <c r="CT187" s="4" t="s">
        <v>1</v>
      </c>
      <c r="CU187" s="4" t="s">
        <v>1</v>
      </c>
      <c r="CV187" t="s">
        <v>855</v>
      </c>
      <c r="CW187">
        <v>100</v>
      </c>
      <c r="CX187">
        <v>0</v>
      </c>
      <c r="CY187">
        <v>30</v>
      </c>
      <c r="CZ187" t="s">
        <v>1358</v>
      </c>
      <c r="DA187" t="s">
        <v>734</v>
      </c>
      <c r="DB187">
        <v>64</v>
      </c>
      <c r="DC187">
        <v>0</v>
      </c>
      <c r="DD187">
        <v>30</v>
      </c>
      <c r="DE187" t="s">
        <v>1358</v>
      </c>
      <c r="DF187" t="s">
        <v>735</v>
      </c>
      <c r="DG187">
        <v>22</v>
      </c>
      <c r="DH187">
        <v>0</v>
      </c>
      <c r="DI187">
        <v>30</v>
      </c>
      <c r="DJ187" t="s">
        <v>1358</v>
      </c>
      <c r="DK187" t="s">
        <v>736</v>
      </c>
      <c r="DL187">
        <v>14</v>
      </c>
      <c r="DM187">
        <v>0</v>
      </c>
      <c r="DN187">
        <v>30</v>
      </c>
      <c r="DO187" t="s">
        <v>1358</v>
      </c>
      <c r="DP187" t="s">
        <v>6</v>
      </c>
      <c r="DQ187" t="s">
        <v>813</v>
      </c>
      <c r="DR187">
        <v>6.4</v>
      </c>
      <c r="DS187">
        <v>0</v>
      </c>
      <c r="DT187">
        <v>30</v>
      </c>
      <c r="DU187" t="s">
        <v>1358</v>
      </c>
      <c r="DV187" t="s">
        <v>980</v>
      </c>
      <c r="DW187">
        <v>28</v>
      </c>
      <c r="DX187">
        <v>0</v>
      </c>
      <c r="DY187">
        <v>30</v>
      </c>
      <c r="DZ187" t="s">
        <v>1358</v>
      </c>
      <c r="EA187" t="s">
        <v>982</v>
      </c>
      <c r="EB187">
        <v>16</v>
      </c>
      <c r="EC187">
        <v>0</v>
      </c>
      <c r="ED187">
        <v>30</v>
      </c>
      <c r="EE187" t="s">
        <v>1358</v>
      </c>
      <c r="EG187" t="s">
        <v>981</v>
      </c>
      <c r="EH187">
        <f t="shared" si="21"/>
        <v>1.4</v>
      </c>
      <c r="EI187">
        <v>0</v>
      </c>
      <c r="EJ187">
        <v>30</v>
      </c>
      <c r="EK187" t="s">
        <v>1358</v>
      </c>
      <c r="EL187" t="s">
        <v>734</v>
      </c>
      <c r="EM187">
        <v>71</v>
      </c>
      <c r="EN187">
        <v>30</v>
      </c>
      <c r="EO187">
        <v>60</v>
      </c>
      <c r="EP187" t="s">
        <v>1358</v>
      </c>
      <c r="EQ187" t="s">
        <v>735</v>
      </c>
      <c r="ER187">
        <v>17</v>
      </c>
      <c r="ES187">
        <v>30</v>
      </c>
      <c r="ET187">
        <v>60</v>
      </c>
      <c r="EU187" t="s">
        <v>1358</v>
      </c>
      <c r="EV187" t="s">
        <v>736</v>
      </c>
      <c r="EW187">
        <v>12</v>
      </c>
      <c r="EX187">
        <v>30</v>
      </c>
      <c r="EY187">
        <v>60</v>
      </c>
      <c r="EZ187" t="s">
        <v>1358</v>
      </c>
      <c r="FA187" t="s">
        <v>980</v>
      </c>
      <c r="FB187">
        <v>25</v>
      </c>
      <c r="FC187">
        <v>30</v>
      </c>
      <c r="FD187">
        <v>60</v>
      </c>
      <c r="FE187" t="s">
        <v>1358</v>
      </c>
      <c r="FF187" t="s">
        <v>734</v>
      </c>
      <c r="FG187">
        <f t="shared" si="22"/>
        <v>67.34</v>
      </c>
      <c r="FH187">
        <v>60</v>
      </c>
      <c r="FI187">
        <v>90</v>
      </c>
      <c r="FJ187" t="s">
        <v>1358</v>
      </c>
      <c r="FK187" t="s">
        <v>735</v>
      </c>
      <c r="FL187">
        <f t="shared" si="23"/>
        <v>20.100000000000001</v>
      </c>
      <c r="FM187">
        <v>60</v>
      </c>
      <c r="FN187">
        <v>90</v>
      </c>
      <c r="FO187" t="s">
        <v>1358</v>
      </c>
      <c r="FP187" t="s">
        <v>736</v>
      </c>
      <c r="FQ187">
        <f t="shared" si="24"/>
        <v>12.56</v>
      </c>
      <c r="FR187">
        <v>60</v>
      </c>
      <c r="FS187">
        <v>90</v>
      </c>
      <c r="FT187" t="s">
        <v>1358</v>
      </c>
      <c r="FU187" t="s">
        <v>980</v>
      </c>
      <c r="FV187">
        <v>25</v>
      </c>
      <c r="FW187">
        <v>60</v>
      </c>
      <c r="FX187">
        <v>90</v>
      </c>
      <c r="FY187" t="s">
        <v>1358</v>
      </c>
      <c r="FZ187" t="s">
        <v>957</v>
      </c>
      <c r="GA187" t="s">
        <v>958</v>
      </c>
      <c r="GB187" t="s">
        <v>959</v>
      </c>
      <c r="GC187" t="s">
        <v>1</v>
      </c>
      <c r="GD187" t="s">
        <v>1</v>
      </c>
      <c r="GE187" s="26" t="s">
        <v>1358</v>
      </c>
      <c r="GF187" t="s">
        <v>957</v>
      </c>
      <c r="GG187" t="s">
        <v>961</v>
      </c>
      <c r="GH187" t="s">
        <v>960</v>
      </c>
      <c r="GI187" s="20">
        <v>1961</v>
      </c>
      <c r="GJ187" s="20">
        <v>1990</v>
      </c>
      <c r="GK187" s="26" t="s">
        <v>1358</v>
      </c>
      <c r="GL187" t="s">
        <v>953</v>
      </c>
      <c r="GM187" t="s">
        <v>955</v>
      </c>
      <c r="GN187" t="s">
        <v>954</v>
      </c>
      <c r="GO187" s="5" t="s">
        <v>956</v>
      </c>
      <c r="GP187" s="5" t="s">
        <v>1382</v>
      </c>
      <c r="GQ187" s="5" t="s">
        <v>962</v>
      </c>
      <c r="GR187" s="5" t="s">
        <v>963</v>
      </c>
      <c r="GS187" s="5" t="s">
        <v>959</v>
      </c>
      <c r="GT187" s="26" t="s">
        <v>1358</v>
      </c>
      <c r="GU187" s="5" t="s">
        <v>962</v>
      </c>
      <c r="GV187" s="5" t="s">
        <v>964</v>
      </c>
      <c r="GW187" s="5" t="s">
        <v>960</v>
      </c>
      <c r="GX187" s="20">
        <v>1961</v>
      </c>
      <c r="GY187" s="20">
        <v>1990</v>
      </c>
      <c r="GZ187" s="26" t="s">
        <v>1358</v>
      </c>
      <c r="HA187" s="5" t="s">
        <v>1</v>
      </c>
      <c r="HB187" s="5" t="s">
        <v>1</v>
      </c>
      <c r="HC187" s="5" t="s">
        <v>1</v>
      </c>
      <c r="HD187" s="5" t="s">
        <v>1</v>
      </c>
      <c r="HE187" t="s">
        <v>1</v>
      </c>
      <c r="HF187" s="5" t="s">
        <v>1</v>
      </c>
      <c r="HG187" s="5" t="s">
        <v>1</v>
      </c>
      <c r="HH187" s="5" t="s">
        <v>1</v>
      </c>
      <c r="HI187" s="5" t="s">
        <v>1</v>
      </c>
      <c r="HJ187" t="s">
        <v>1</v>
      </c>
      <c r="HK187" t="s">
        <v>1</v>
      </c>
      <c r="HL187" t="s">
        <v>1</v>
      </c>
      <c r="HM187" t="s">
        <v>1</v>
      </c>
      <c r="HN187" t="s">
        <v>1</v>
      </c>
      <c r="HO187" t="s">
        <v>1</v>
      </c>
      <c r="HP187" t="s">
        <v>1</v>
      </c>
      <c r="HQ187" t="s">
        <v>983</v>
      </c>
      <c r="HR187" t="s">
        <v>1038</v>
      </c>
      <c r="HS187" s="5" t="s">
        <v>1039</v>
      </c>
      <c r="HT187" s="28" t="s">
        <v>1425</v>
      </c>
      <c r="HU187" s="5" t="s">
        <v>842</v>
      </c>
      <c r="HV187" s="5" t="s">
        <v>1358</v>
      </c>
      <c r="HW187" t="s">
        <v>937</v>
      </c>
      <c r="HX187">
        <v>4</v>
      </c>
      <c r="HY187" s="30">
        <v>38217</v>
      </c>
      <c r="HZ187" t="s">
        <v>1295</v>
      </c>
      <c r="IA187">
        <f>60+150</f>
        <v>210</v>
      </c>
      <c r="IB187" s="10" t="s">
        <v>1</v>
      </c>
      <c r="IC187" s="10">
        <v>15</v>
      </c>
      <c r="ID187" s="10" t="s">
        <v>984</v>
      </c>
      <c r="IE187" s="10" t="s">
        <v>1</v>
      </c>
      <c r="IF187" s="10" t="s">
        <v>1</v>
      </c>
      <c r="IG187" t="s">
        <v>1310</v>
      </c>
      <c r="IH187" s="10">
        <f t="shared" si="17"/>
        <v>114.5</v>
      </c>
      <c r="II187" s="10" t="s">
        <v>1</v>
      </c>
      <c r="IJ187" s="10" t="s">
        <v>1</v>
      </c>
      <c r="IK187" t="s">
        <v>1311</v>
      </c>
      <c r="IL187" s="10">
        <f t="shared" si="18"/>
        <v>67.2</v>
      </c>
      <c r="IM187" s="10" t="s">
        <v>1</v>
      </c>
      <c r="IN187" s="10" t="s">
        <v>1</v>
      </c>
      <c r="IO187" s="10" t="s">
        <v>1319</v>
      </c>
      <c r="IP187" s="10">
        <v>15</v>
      </c>
      <c r="IQ187" s="10" t="s">
        <v>1</v>
      </c>
      <c r="IR187" s="10" t="s">
        <v>1</v>
      </c>
      <c r="IS187" t="s">
        <v>1</v>
      </c>
      <c r="IT187" t="s">
        <v>1</v>
      </c>
      <c r="IW187" t="s">
        <v>1</v>
      </c>
      <c r="IX187" t="s">
        <v>1</v>
      </c>
      <c r="IY187" t="s">
        <v>1</v>
      </c>
      <c r="IZ187" t="s">
        <v>1</v>
      </c>
      <c r="JA187" t="s">
        <v>1</v>
      </c>
      <c r="JB187" s="3" t="s">
        <v>1</v>
      </c>
      <c r="JC187" t="s">
        <v>1</v>
      </c>
      <c r="JD187" s="4" t="s">
        <v>1</v>
      </c>
      <c r="JE187" t="s">
        <v>810</v>
      </c>
      <c r="JF187">
        <v>100</v>
      </c>
      <c r="JG187" t="s">
        <v>859</v>
      </c>
      <c r="JH187" t="s">
        <v>1387</v>
      </c>
      <c r="JI187" t="s">
        <v>946</v>
      </c>
      <c r="JJ187" t="s">
        <v>1421</v>
      </c>
      <c r="JK187" s="31" t="s">
        <v>1</v>
      </c>
      <c r="JL187" t="s">
        <v>947</v>
      </c>
      <c r="JM187" t="s">
        <v>948</v>
      </c>
      <c r="JN187" t="s">
        <v>1050</v>
      </c>
      <c r="JO187" s="30">
        <v>38217</v>
      </c>
      <c r="JP187" t="s">
        <v>1051</v>
      </c>
      <c r="JQ187" t="s">
        <v>1057</v>
      </c>
      <c r="JR187" t="s">
        <v>1066</v>
      </c>
      <c r="JS187" t="s">
        <v>994</v>
      </c>
      <c r="JT187" t="s">
        <v>985</v>
      </c>
      <c r="JU187" t="s">
        <v>1</v>
      </c>
      <c r="JV187" t="s">
        <v>1426</v>
      </c>
      <c r="JW187" t="s">
        <v>842</v>
      </c>
      <c r="JX187">
        <v>0</v>
      </c>
      <c r="JY187">
        <v>80</v>
      </c>
      <c r="JZ187" t="s">
        <v>800</v>
      </c>
      <c r="KA187" t="s">
        <v>206</v>
      </c>
      <c r="KB187" t="s">
        <v>738</v>
      </c>
      <c r="KC187" t="s">
        <v>1</v>
      </c>
      <c r="KD187" t="s">
        <v>1</v>
      </c>
      <c r="KE187" t="s">
        <v>1</v>
      </c>
      <c r="KF187" t="s">
        <v>1</v>
      </c>
      <c r="KG187" t="s">
        <v>1</v>
      </c>
      <c r="KH187" t="s">
        <v>1</v>
      </c>
      <c r="KI187" t="s">
        <v>1</v>
      </c>
      <c r="KJ187" t="s">
        <v>1</v>
      </c>
      <c r="KK187" t="s">
        <v>1</v>
      </c>
    </row>
    <row r="188" spans="1:297" x14ac:dyDescent="0.2">
      <c r="A188" s="3" t="s">
        <v>869</v>
      </c>
      <c r="B188" t="s">
        <v>705</v>
      </c>
      <c r="C188" t="s">
        <v>896</v>
      </c>
      <c r="D188" t="s">
        <v>690</v>
      </c>
      <c r="E188">
        <v>29</v>
      </c>
      <c r="F188" t="s">
        <v>213</v>
      </c>
      <c r="G188" t="s">
        <v>1</v>
      </c>
      <c r="H188" s="26" t="s">
        <v>1420</v>
      </c>
      <c r="I188" t="s">
        <v>1</v>
      </c>
      <c r="J188" t="s">
        <v>1</v>
      </c>
      <c r="K188" t="s">
        <v>1</v>
      </c>
      <c r="L188" t="s">
        <v>1</v>
      </c>
      <c r="M188" t="s">
        <v>1</v>
      </c>
      <c r="N188" t="s">
        <v>1</v>
      </c>
      <c r="O188" t="s">
        <v>1</v>
      </c>
      <c r="P188" t="s">
        <v>1</v>
      </c>
      <c r="Q188" t="s">
        <v>1</v>
      </c>
      <c r="R188" t="s">
        <v>1</v>
      </c>
      <c r="S188" t="s">
        <v>1</v>
      </c>
      <c r="T188" t="s">
        <v>1</v>
      </c>
      <c r="U188" t="s">
        <v>1</v>
      </c>
      <c r="V188" t="s">
        <v>1</v>
      </c>
      <c r="W188" t="s">
        <v>1</v>
      </c>
      <c r="X188" t="s">
        <v>1</v>
      </c>
      <c r="Y188" t="s">
        <v>1</v>
      </c>
      <c r="Z188" t="s">
        <v>1</v>
      </c>
      <c r="AA188" t="s">
        <v>1</v>
      </c>
      <c r="AB188" t="s">
        <v>1</v>
      </c>
      <c r="AC188" t="s">
        <v>1</v>
      </c>
      <c r="AD188" t="s">
        <v>1</v>
      </c>
      <c r="AE188" t="s">
        <v>1</v>
      </c>
      <c r="AF188" t="s">
        <v>1</v>
      </c>
      <c r="AG188" t="s">
        <v>1</v>
      </c>
      <c r="AH188" t="s">
        <v>1</v>
      </c>
      <c r="AI188" t="s">
        <v>1</v>
      </c>
      <c r="AJ188" t="s">
        <v>1</v>
      </c>
      <c r="AK188" t="s">
        <v>1</v>
      </c>
      <c r="AL188" t="s">
        <v>1</v>
      </c>
      <c r="AM188" t="s">
        <v>1</v>
      </c>
      <c r="AN188" s="3" t="s">
        <v>869</v>
      </c>
      <c r="AO188" t="str">
        <f t="shared" si="12"/>
        <v>180-10</v>
      </c>
      <c r="AP188">
        <f t="shared" si="10"/>
        <v>29</v>
      </c>
      <c r="AQ188">
        <f t="shared" si="11"/>
        <v>29</v>
      </c>
      <c r="AR188" t="s">
        <v>1355</v>
      </c>
      <c r="AS188" t="s">
        <v>1356</v>
      </c>
      <c r="AT188" t="s">
        <v>714</v>
      </c>
      <c r="AU188" t="s">
        <v>1</v>
      </c>
      <c r="AV188" t="s">
        <v>1</v>
      </c>
      <c r="AW188">
        <v>58.37</v>
      </c>
      <c r="AX188">
        <v>13.48</v>
      </c>
      <c r="AY188" t="s">
        <v>737</v>
      </c>
      <c r="AZ188">
        <f t="shared" si="19"/>
        <v>5.3999999999999999E-2</v>
      </c>
      <c r="BA188" s="3">
        <f t="shared" si="20"/>
        <v>6</v>
      </c>
      <c r="BB188" s="10" t="s">
        <v>1355</v>
      </c>
      <c r="BC188" t="s">
        <v>1461</v>
      </c>
      <c r="BD188" s="30">
        <v>38575</v>
      </c>
      <c r="BE188" s="3" t="s">
        <v>933</v>
      </c>
      <c r="BF188" s="30">
        <v>38936</v>
      </c>
      <c r="BG188" s="19" t="s">
        <v>934</v>
      </c>
      <c r="BH188" s="19" t="s">
        <v>934</v>
      </c>
      <c r="BI188" s="19" t="s">
        <v>945</v>
      </c>
      <c r="BJ188" s="19" t="s">
        <v>934</v>
      </c>
      <c r="BK188" s="19" t="s">
        <v>945</v>
      </c>
      <c r="BL188" s="19" t="s">
        <v>945</v>
      </c>
      <c r="BM188" s="19" t="s">
        <v>945</v>
      </c>
      <c r="BN188" s="19" t="s">
        <v>934</v>
      </c>
      <c r="BO188" s="19" t="s">
        <v>945</v>
      </c>
      <c r="BP188" s="19" t="s">
        <v>945</v>
      </c>
      <c r="BQ188" s="24" t="s">
        <v>945</v>
      </c>
      <c r="BR188" s="24" t="s">
        <v>945</v>
      </c>
      <c r="BS188" s="24" t="s">
        <v>934</v>
      </c>
      <c r="BT188" s="24" t="s">
        <v>934</v>
      </c>
      <c r="BU188" s="24" t="s">
        <v>934</v>
      </c>
      <c r="BV188" s="24" t="s">
        <v>934</v>
      </c>
      <c r="BW188" s="24" t="s">
        <v>934</v>
      </c>
      <c r="BX188" s="24" t="s">
        <v>934</v>
      </c>
      <c r="BY188" s="25" t="s">
        <v>945</v>
      </c>
      <c r="BZ188" t="s">
        <v>62</v>
      </c>
      <c r="CA188" s="20" t="s">
        <v>949</v>
      </c>
      <c r="CB188" t="s">
        <v>1</v>
      </c>
      <c r="CC188" s="4">
        <v>6310</v>
      </c>
      <c r="CD188" s="4" t="s">
        <v>1</v>
      </c>
      <c r="CE188" s="4" t="s">
        <v>1</v>
      </c>
      <c r="CF188" s="5" t="s">
        <v>793</v>
      </c>
      <c r="CG188">
        <v>100</v>
      </c>
      <c r="CH188" t="s">
        <v>1</v>
      </c>
      <c r="CI188" s="28" t="s">
        <v>1</v>
      </c>
      <c r="CJ188" s="10" t="s">
        <v>1</v>
      </c>
      <c r="CK188" s="9" t="s">
        <v>1</v>
      </c>
      <c r="CL188" s="4" t="s">
        <v>1</v>
      </c>
      <c r="CM188" s="4" t="s">
        <v>1</v>
      </c>
      <c r="CN188" s="4" t="s">
        <v>1</v>
      </c>
      <c r="CO188" s="4" t="s">
        <v>1</v>
      </c>
      <c r="CP188" s="4" t="s">
        <v>1</v>
      </c>
      <c r="CQ188" s="4" t="s">
        <v>1</v>
      </c>
      <c r="CR188" s="4" t="s">
        <v>1</v>
      </c>
      <c r="CS188" s="4" t="s">
        <v>1</v>
      </c>
      <c r="CT188" s="4" t="s">
        <v>1</v>
      </c>
      <c r="CU188" s="4" t="s">
        <v>1</v>
      </c>
      <c r="CV188" t="s">
        <v>855</v>
      </c>
      <c r="CW188">
        <v>100</v>
      </c>
      <c r="CX188">
        <v>0</v>
      </c>
      <c r="CY188">
        <v>30</v>
      </c>
      <c r="CZ188" t="s">
        <v>1358</v>
      </c>
      <c r="DA188" t="s">
        <v>734</v>
      </c>
      <c r="DB188">
        <v>64</v>
      </c>
      <c r="DC188">
        <v>0</v>
      </c>
      <c r="DD188">
        <v>30</v>
      </c>
      <c r="DE188" t="s">
        <v>1358</v>
      </c>
      <c r="DF188" t="s">
        <v>735</v>
      </c>
      <c r="DG188">
        <v>22</v>
      </c>
      <c r="DH188">
        <v>0</v>
      </c>
      <c r="DI188">
        <v>30</v>
      </c>
      <c r="DJ188" t="s">
        <v>1358</v>
      </c>
      <c r="DK188" t="s">
        <v>736</v>
      </c>
      <c r="DL188">
        <v>14</v>
      </c>
      <c r="DM188">
        <v>0</v>
      </c>
      <c r="DN188">
        <v>30</v>
      </c>
      <c r="DO188" t="s">
        <v>1358</v>
      </c>
      <c r="DP188" t="s">
        <v>6</v>
      </c>
      <c r="DQ188" t="s">
        <v>813</v>
      </c>
      <c r="DR188">
        <v>6.4</v>
      </c>
      <c r="DS188">
        <v>0</v>
      </c>
      <c r="DT188">
        <v>30</v>
      </c>
      <c r="DU188" t="s">
        <v>1358</v>
      </c>
      <c r="DV188" t="s">
        <v>980</v>
      </c>
      <c r="DW188">
        <v>28</v>
      </c>
      <c r="DX188">
        <v>0</v>
      </c>
      <c r="DY188">
        <v>30</v>
      </c>
      <c r="DZ188" t="s">
        <v>1358</v>
      </c>
      <c r="EA188" t="s">
        <v>982</v>
      </c>
      <c r="EB188">
        <v>16</v>
      </c>
      <c r="EC188">
        <v>0</v>
      </c>
      <c r="ED188">
        <v>30</v>
      </c>
      <c r="EE188" t="s">
        <v>1358</v>
      </c>
      <c r="EG188" t="s">
        <v>981</v>
      </c>
      <c r="EH188">
        <f t="shared" si="21"/>
        <v>1.4</v>
      </c>
      <c r="EI188">
        <v>0</v>
      </c>
      <c r="EJ188">
        <v>30</v>
      </c>
      <c r="EK188" t="s">
        <v>1358</v>
      </c>
      <c r="EL188" t="s">
        <v>734</v>
      </c>
      <c r="EM188">
        <v>71</v>
      </c>
      <c r="EN188">
        <v>30</v>
      </c>
      <c r="EO188">
        <v>60</v>
      </c>
      <c r="EP188" t="s">
        <v>1358</v>
      </c>
      <c r="EQ188" t="s">
        <v>735</v>
      </c>
      <c r="ER188">
        <v>17</v>
      </c>
      <c r="ES188">
        <v>30</v>
      </c>
      <c r="ET188">
        <v>60</v>
      </c>
      <c r="EU188" t="s">
        <v>1358</v>
      </c>
      <c r="EV188" t="s">
        <v>736</v>
      </c>
      <c r="EW188">
        <v>12</v>
      </c>
      <c r="EX188">
        <v>30</v>
      </c>
      <c r="EY188">
        <v>60</v>
      </c>
      <c r="EZ188" t="s">
        <v>1358</v>
      </c>
      <c r="FA188" t="s">
        <v>980</v>
      </c>
      <c r="FB188">
        <v>25</v>
      </c>
      <c r="FC188">
        <v>30</v>
      </c>
      <c r="FD188">
        <v>60</v>
      </c>
      <c r="FE188" t="s">
        <v>1358</v>
      </c>
      <c r="FF188" t="s">
        <v>734</v>
      </c>
      <c r="FG188">
        <f t="shared" si="22"/>
        <v>67.34</v>
      </c>
      <c r="FH188">
        <v>60</v>
      </c>
      <c r="FI188">
        <v>90</v>
      </c>
      <c r="FJ188" t="s">
        <v>1358</v>
      </c>
      <c r="FK188" t="s">
        <v>735</v>
      </c>
      <c r="FL188">
        <f t="shared" si="23"/>
        <v>20.100000000000001</v>
      </c>
      <c r="FM188">
        <v>60</v>
      </c>
      <c r="FN188">
        <v>90</v>
      </c>
      <c r="FO188" t="s">
        <v>1358</v>
      </c>
      <c r="FP188" t="s">
        <v>736</v>
      </c>
      <c r="FQ188">
        <f t="shared" si="24"/>
        <v>12.56</v>
      </c>
      <c r="FR188">
        <v>60</v>
      </c>
      <c r="FS188">
        <v>90</v>
      </c>
      <c r="FT188" t="s">
        <v>1358</v>
      </c>
      <c r="FU188" t="s">
        <v>980</v>
      </c>
      <c r="FV188">
        <v>25</v>
      </c>
      <c r="FW188">
        <v>60</v>
      </c>
      <c r="FX188">
        <v>90</v>
      </c>
      <c r="FY188" t="s">
        <v>1358</v>
      </c>
      <c r="FZ188" t="s">
        <v>957</v>
      </c>
      <c r="GA188" t="s">
        <v>958</v>
      </c>
      <c r="GB188" t="s">
        <v>959</v>
      </c>
      <c r="GC188" t="s">
        <v>1</v>
      </c>
      <c r="GD188" t="s">
        <v>1</v>
      </c>
      <c r="GE188" s="26" t="s">
        <v>1358</v>
      </c>
      <c r="GF188" t="s">
        <v>957</v>
      </c>
      <c r="GG188" t="s">
        <v>961</v>
      </c>
      <c r="GH188" t="s">
        <v>960</v>
      </c>
      <c r="GI188" s="20">
        <v>1961</v>
      </c>
      <c r="GJ188" s="20">
        <v>1990</v>
      </c>
      <c r="GK188" s="26" t="s">
        <v>1358</v>
      </c>
      <c r="GL188" t="s">
        <v>953</v>
      </c>
      <c r="GM188" t="s">
        <v>955</v>
      </c>
      <c r="GN188" t="s">
        <v>954</v>
      </c>
      <c r="GO188" s="5" t="s">
        <v>956</v>
      </c>
      <c r="GP188" s="5" t="s">
        <v>1382</v>
      </c>
      <c r="GQ188" s="5" t="s">
        <v>962</v>
      </c>
      <c r="GR188" s="5" t="s">
        <v>963</v>
      </c>
      <c r="GS188" s="5" t="s">
        <v>959</v>
      </c>
      <c r="GT188" s="26" t="s">
        <v>1358</v>
      </c>
      <c r="GU188" s="5" t="s">
        <v>962</v>
      </c>
      <c r="GV188" s="5" t="s">
        <v>964</v>
      </c>
      <c r="GW188" s="5" t="s">
        <v>960</v>
      </c>
      <c r="GX188" s="20">
        <v>1961</v>
      </c>
      <c r="GY188" s="20">
        <v>1990</v>
      </c>
      <c r="GZ188" s="26" t="s">
        <v>1358</v>
      </c>
      <c r="HA188" s="5" t="s">
        <v>1</v>
      </c>
      <c r="HB188" s="5" t="s">
        <v>1</v>
      </c>
      <c r="HC188" s="5" t="s">
        <v>1</v>
      </c>
      <c r="HD188" s="5" t="s">
        <v>1</v>
      </c>
      <c r="HE188" t="s">
        <v>1</v>
      </c>
      <c r="HF188" s="5" t="s">
        <v>1</v>
      </c>
      <c r="HG188" s="5" t="s">
        <v>1</v>
      </c>
      <c r="HH188" s="5" t="s">
        <v>1</v>
      </c>
      <c r="HI188" s="5" t="s">
        <v>1</v>
      </c>
      <c r="HJ188" t="s">
        <v>1</v>
      </c>
      <c r="HK188" t="s">
        <v>1</v>
      </c>
      <c r="HL188" t="s">
        <v>1</v>
      </c>
      <c r="HM188" t="s">
        <v>1</v>
      </c>
      <c r="HN188" t="s">
        <v>1</v>
      </c>
      <c r="HO188" t="s">
        <v>1</v>
      </c>
      <c r="HP188" t="s">
        <v>1</v>
      </c>
      <c r="HQ188" t="s">
        <v>983</v>
      </c>
      <c r="HR188" s="28" t="s">
        <v>1030</v>
      </c>
      <c r="HS188" s="5" t="s">
        <v>1039</v>
      </c>
      <c r="HT188" s="28" t="s">
        <v>1425</v>
      </c>
      <c r="HU188" s="5" t="s">
        <v>842</v>
      </c>
      <c r="HV188" s="5" t="s">
        <v>1358</v>
      </c>
      <c r="HW188" t="s">
        <v>937</v>
      </c>
      <c r="HX188" s="3" t="s">
        <v>1</v>
      </c>
      <c r="HY188" s="30">
        <v>38614</v>
      </c>
      <c r="HZ188" t="s">
        <v>1295</v>
      </c>
      <c r="IA188">
        <v>100</v>
      </c>
      <c r="IB188" s="10" t="s">
        <v>1</v>
      </c>
      <c r="IC188" s="10">
        <v>15</v>
      </c>
      <c r="ID188" s="10" t="s">
        <v>984</v>
      </c>
      <c r="IE188" s="10" t="s">
        <v>1</v>
      </c>
      <c r="IF188" s="10" t="s">
        <v>1</v>
      </c>
      <c r="IG188" t="s">
        <v>1</v>
      </c>
      <c r="IH188" s="10" t="s">
        <v>1</v>
      </c>
      <c r="II188" s="10" t="s">
        <v>1</v>
      </c>
      <c r="IJ188" s="10" t="s">
        <v>1</v>
      </c>
      <c r="IK188" t="s">
        <v>1</v>
      </c>
      <c r="IL188" s="10" t="s">
        <v>1</v>
      </c>
      <c r="IM188" s="10" t="s">
        <v>1</v>
      </c>
      <c r="IN188" s="10" t="s">
        <v>1</v>
      </c>
      <c r="IO188" s="10" t="s">
        <v>1</v>
      </c>
      <c r="IP188" s="10" t="s">
        <v>1</v>
      </c>
      <c r="IQ188" s="10" t="s">
        <v>1</v>
      </c>
      <c r="IR188" s="10" t="s">
        <v>1</v>
      </c>
      <c r="IS188" t="s">
        <v>1</v>
      </c>
      <c r="IT188" t="s">
        <v>1</v>
      </c>
      <c r="IW188" t="s">
        <v>1</v>
      </c>
      <c r="IX188" t="s">
        <v>1</v>
      </c>
      <c r="IY188" t="s">
        <v>1</v>
      </c>
      <c r="IZ188" t="s">
        <v>1</v>
      </c>
      <c r="JA188" t="s">
        <v>1</v>
      </c>
      <c r="JB188" s="3" t="s">
        <v>1</v>
      </c>
      <c r="JC188" t="s">
        <v>1</v>
      </c>
      <c r="JD188" s="4" t="s">
        <v>1</v>
      </c>
      <c r="JE188" t="s">
        <v>810</v>
      </c>
      <c r="JF188">
        <v>100</v>
      </c>
      <c r="JG188" t="s">
        <v>859</v>
      </c>
      <c r="JH188" t="s">
        <v>1388</v>
      </c>
      <c r="JI188" t="s">
        <v>947</v>
      </c>
      <c r="JJ188" t="s">
        <v>1</v>
      </c>
      <c r="JK188" t="s">
        <v>1052</v>
      </c>
      <c r="JL188" t="s">
        <v>1</v>
      </c>
      <c r="JM188" t="s">
        <v>1</v>
      </c>
      <c r="JN188" t="s">
        <v>1050</v>
      </c>
      <c r="JO188" s="30">
        <v>38614</v>
      </c>
      <c r="JP188" t="s">
        <v>1051</v>
      </c>
      <c r="JQ188" s="32" t="s">
        <v>1058</v>
      </c>
      <c r="JR188" t="s">
        <v>1066</v>
      </c>
      <c r="JS188" t="s">
        <v>1005</v>
      </c>
      <c r="JT188" t="s">
        <v>995</v>
      </c>
      <c r="JU188" t="s">
        <v>1</v>
      </c>
      <c r="JV188" t="s">
        <v>1424</v>
      </c>
      <c r="JW188" t="s">
        <v>842</v>
      </c>
      <c r="JX188">
        <v>0</v>
      </c>
      <c r="JY188">
        <v>80</v>
      </c>
      <c r="JZ188" t="s">
        <v>800</v>
      </c>
      <c r="KA188" t="s">
        <v>206</v>
      </c>
      <c r="KB188" t="s">
        <v>738</v>
      </c>
      <c r="KC188" t="s">
        <v>1</v>
      </c>
      <c r="KD188" t="s">
        <v>1</v>
      </c>
      <c r="KE188" t="s">
        <v>1</v>
      </c>
      <c r="KF188" t="s">
        <v>1</v>
      </c>
      <c r="KG188" t="s">
        <v>1</v>
      </c>
      <c r="KH188" t="s">
        <v>1</v>
      </c>
      <c r="KI188" t="s">
        <v>1</v>
      </c>
      <c r="KJ188" t="s">
        <v>1</v>
      </c>
      <c r="KK188" t="s">
        <v>1</v>
      </c>
    </row>
    <row r="189" spans="1:297" x14ac:dyDescent="0.2">
      <c r="A189" s="3" t="s">
        <v>870</v>
      </c>
      <c r="B189" t="s">
        <v>705</v>
      </c>
      <c r="C189" t="s">
        <v>897</v>
      </c>
      <c r="D189" t="s">
        <v>690</v>
      </c>
      <c r="E189">
        <v>29</v>
      </c>
      <c r="F189" t="s">
        <v>213</v>
      </c>
      <c r="G189" t="s">
        <v>1</v>
      </c>
      <c r="H189" s="26" t="s">
        <v>1420</v>
      </c>
      <c r="I189" t="s">
        <v>1</v>
      </c>
      <c r="J189" t="s">
        <v>1</v>
      </c>
      <c r="K189" t="s">
        <v>1</v>
      </c>
      <c r="L189" t="s">
        <v>1</v>
      </c>
      <c r="M189" t="s">
        <v>1</v>
      </c>
      <c r="N189" t="s">
        <v>1</v>
      </c>
      <c r="O189" t="s">
        <v>1</v>
      </c>
      <c r="P189" t="s">
        <v>1</v>
      </c>
      <c r="Q189" t="s">
        <v>1</v>
      </c>
      <c r="R189" t="s">
        <v>1</v>
      </c>
      <c r="S189" t="s">
        <v>1</v>
      </c>
      <c r="T189" t="s">
        <v>1</v>
      </c>
      <c r="U189" t="s">
        <v>1</v>
      </c>
      <c r="V189" t="s">
        <v>1</v>
      </c>
      <c r="W189" t="s">
        <v>1</v>
      </c>
      <c r="X189" t="s">
        <v>1</v>
      </c>
      <c r="Y189" t="s">
        <v>1</v>
      </c>
      <c r="Z189" t="s">
        <v>1</v>
      </c>
      <c r="AA189" t="s">
        <v>1</v>
      </c>
      <c r="AB189" t="s">
        <v>1</v>
      </c>
      <c r="AC189" t="s">
        <v>1</v>
      </c>
      <c r="AD189" t="s">
        <v>1</v>
      </c>
      <c r="AE189" t="s">
        <v>1</v>
      </c>
      <c r="AF189" t="s">
        <v>1</v>
      </c>
      <c r="AG189" t="s">
        <v>1</v>
      </c>
      <c r="AH189" t="s">
        <v>1</v>
      </c>
      <c r="AI189" t="s">
        <v>1</v>
      </c>
      <c r="AJ189" t="s">
        <v>1</v>
      </c>
      <c r="AK189" t="s">
        <v>1</v>
      </c>
      <c r="AL189" t="s">
        <v>1</v>
      </c>
      <c r="AM189" t="s">
        <v>1</v>
      </c>
      <c r="AN189" s="3" t="s">
        <v>870</v>
      </c>
      <c r="AO189" t="str">
        <f t="shared" ref="AO189:AO251" si="25">AN189</f>
        <v>180-11</v>
      </c>
      <c r="AP189">
        <f t="shared" si="10"/>
        <v>29</v>
      </c>
      <c r="AQ189">
        <f t="shared" si="11"/>
        <v>29</v>
      </c>
      <c r="AR189" t="s">
        <v>1355</v>
      </c>
      <c r="AS189" t="s">
        <v>1356</v>
      </c>
      <c r="AT189" t="s">
        <v>714</v>
      </c>
      <c r="AU189" t="s">
        <v>1</v>
      </c>
      <c r="AV189" t="s">
        <v>1</v>
      </c>
      <c r="AW189">
        <v>58.37</v>
      </c>
      <c r="AX189">
        <v>13.48</v>
      </c>
      <c r="AY189" t="s">
        <v>737</v>
      </c>
      <c r="AZ189">
        <f t="shared" si="19"/>
        <v>5.3999999999999999E-2</v>
      </c>
      <c r="BA189" s="3">
        <f t="shared" si="20"/>
        <v>6</v>
      </c>
      <c r="BB189" s="10" t="s">
        <v>1355</v>
      </c>
      <c r="BC189" t="s">
        <v>1461</v>
      </c>
      <c r="BD189" s="30">
        <v>38575</v>
      </c>
      <c r="BE189" s="3" t="s">
        <v>933</v>
      </c>
      <c r="BF189" s="30">
        <v>38936</v>
      </c>
      <c r="BG189" s="19" t="s">
        <v>934</v>
      </c>
      <c r="BH189" s="19" t="s">
        <v>934</v>
      </c>
      <c r="BI189" s="19" t="s">
        <v>945</v>
      </c>
      <c r="BJ189" s="19" t="s">
        <v>934</v>
      </c>
      <c r="BK189" s="19" t="s">
        <v>945</v>
      </c>
      <c r="BL189" s="19" t="s">
        <v>945</v>
      </c>
      <c r="BM189" s="19" t="s">
        <v>945</v>
      </c>
      <c r="BN189" s="19" t="s">
        <v>934</v>
      </c>
      <c r="BO189" s="19" t="s">
        <v>945</v>
      </c>
      <c r="BP189" s="19" t="s">
        <v>945</v>
      </c>
      <c r="BQ189" s="24" t="s">
        <v>945</v>
      </c>
      <c r="BR189" s="24" t="s">
        <v>945</v>
      </c>
      <c r="BS189" s="24" t="s">
        <v>934</v>
      </c>
      <c r="BT189" s="24" t="s">
        <v>934</v>
      </c>
      <c r="BU189" s="24" t="s">
        <v>934</v>
      </c>
      <c r="BV189" s="24" t="s">
        <v>934</v>
      </c>
      <c r="BW189" s="24" t="s">
        <v>934</v>
      </c>
      <c r="BX189" s="24" t="s">
        <v>934</v>
      </c>
      <c r="BY189" s="25" t="s">
        <v>945</v>
      </c>
      <c r="BZ189" t="s">
        <v>62</v>
      </c>
      <c r="CA189" s="20" t="s">
        <v>949</v>
      </c>
      <c r="CB189" t="s">
        <v>1</v>
      </c>
      <c r="CC189" s="4">
        <v>6650</v>
      </c>
      <c r="CD189" s="4" t="s">
        <v>1</v>
      </c>
      <c r="CE189" s="4" t="s">
        <v>1</v>
      </c>
      <c r="CF189" s="5" t="s">
        <v>793</v>
      </c>
      <c r="CG189">
        <v>100</v>
      </c>
      <c r="CH189" t="s">
        <v>1</v>
      </c>
      <c r="CI189" s="28" t="s">
        <v>1</v>
      </c>
      <c r="CJ189" s="10" t="s">
        <v>1</v>
      </c>
      <c r="CK189" s="9" t="s">
        <v>1</v>
      </c>
      <c r="CL189" s="4" t="s">
        <v>1</v>
      </c>
      <c r="CM189" s="4" t="s">
        <v>1</v>
      </c>
      <c r="CN189" s="4" t="s">
        <v>1</v>
      </c>
      <c r="CO189" s="4" t="s">
        <v>1</v>
      </c>
      <c r="CP189" s="4" t="s">
        <v>1</v>
      </c>
      <c r="CQ189" s="4" t="s">
        <v>1</v>
      </c>
      <c r="CR189" s="4" t="s">
        <v>1</v>
      </c>
      <c r="CS189" s="4" t="s">
        <v>1</v>
      </c>
      <c r="CT189" s="4" t="s">
        <v>1</v>
      </c>
      <c r="CU189" s="4" t="s">
        <v>1</v>
      </c>
      <c r="CV189" t="s">
        <v>855</v>
      </c>
      <c r="CW189">
        <v>100</v>
      </c>
      <c r="CX189">
        <v>0</v>
      </c>
      <c r="CY189">
        <v>30</v>
      </c>
      <c r="CZ189" t="s">
        <v>1358</v>
      </c>
      <c r="DA189" t="s">
        <v>734</v>
      </c>
      <c r="DB189">
        <v>64</v>
      </c>
      <c r="DC189">
        <v>0</v>
      </c>
      <c r="DD189">
        <v>30</v>
      </c>
      <c r="DE189" t="s">
        <v>1358</v>
      </c>
      <c r="DF189" t="s">
        <v>735</v>
      </c>
      <c r="DG189">
        <v>22</v>
      </c>
      <c r="DH189">
        <v>0</v>
      </c>
      <c r="DI189">
        <v>30</v>
      </c>
      <c r="DJ189" t="s">
        <v>1358</v>
      </c>
      <c r="DK189" t="s">
        <v>736</v>
      </c>
      <c r="DL189">
        <v>14</v>
      </c>
      <c r="DM189">
        <v>0</v>
      </c>
      <c r="DN189">
        <v>30</v>
      </c>
      <c r="DO189" t="s">
        <v>1358</v>
      </c>
      <c r="DP189" t="s">
        <v>6</v>
      </c>
      <c r="DQ189" t="s">
        <v>813</v>
      </c>
      <c r="DR189">
        <v>6.4</v>
      </c>
      <c r="DS189">
        <v>0</v>
      </c>
      <c r="DT189">
        <v>30</v>
      </c>
      <c r="DU189" t="s">
        <v>1358</v>
      </c>
      <c r="DV189" t="s">
        <v>980</v>
      </c>
      <c r="DW189">
        <v>28</v>
      </c>
      <c r="DX189">
        <v>0</v>
      </c>
      <c r="DY189">
        <v>30</v>
      </c>
      <c r="DZ189" t="s">
        <v>1358</v>
      </c>
      <c r="EA189" t="s">
        <v>982</v>
      </c>
      <c r="EB189">
        <v>16</v>
      </c>
      <c r="EC189">
        <v>0</v>
      </c>
      <c r="ED189">
        <v>30</v>
      </c>
      <c r="EE189" t="s">
        <v>1358</v>
      </c>
      <c r="EG189" t="s">
        <v>981</v>
      </c>
      <c r="EH189">
        <f t="shared" si="21"/>
        <v>1.4</v>
      </c>
      <c r="EI189">
        <v>0</v>
      </c>
      <c r="EJ189">
        <v>30</v>
      </c>
      <c r="EK189" t="s">
        <v>1358</v>
      </c>
      <c r="EL189" t="s">
        <v>734</v>
      </c>
      <c r="EM189">
        <v>71</v>
      </c>
      <c r="EN189">
        <v>30</v>
      </c>
      <c r="EO189">
        <v>60</v>
      </c>
      <c r="EP189" t="s">
        <v>1358</v>
      </c>
      <c r="EQ189" t="s">
        <v>735</v>
      </c>
      <c r="ER189">
        <v>17</v>
      </c>
      <c r="ES189">
        <v>30</v>
      </c>
      <c r="ET189">
        <v>60</v>
      </c>
      <c r="EU189" t="s">
        <v>1358</v>
      </c>
      <c r="EV189" t="s">
        <v>736</v>
      </c>
      <c r="EW189">
        <v>12</v>
      </c>
      <c r="EX189">
        <v>30</v>
      </c>
      <c r="EY189">
        <v>60</v>
      </c>
      <c r="EZ189" t="s">
        <v>1358</v>
      </c>
      <c r="FA189" t="s">
        <v>980</v>
      </c>
      <c r="FB189">
        <v>25</v>
      </c>
      <c r="FC189">
        <v>30</v>
      </c>
      <c r="FD189">
        <v>60</v>
      </c>
      <c r="FE189" t="s">
        <v>1358</v>
      </c>
      <c r="FF189" t="s">
        <v>734</v>
      </c>
      <c r="FG189">
        <f t="shared" si="22"/>
        <v>67.34</v>
      </c>
      <c r="FH189">
        <v>60</v>
      </c>
      <c r="FI189">
        <v>90</v>
      </c>
      <c r="FJ189" t="s">
        <v>1358</v>
      </c>
      <c r="FK189" t="s">
        <v>735</v>
      </c>
      <c r="FL189">
        <f t="shared" si="23"/>
        <v>20.100000000000001</v>
      </c>
      <c r="FM189">
        <v>60</v>
      </c>
      <c r="FN189">
        <v>90</v>
      </c>
      <c r="FO189" t="s">
        <v>1358</v>
      </c>
      <c r="FP189" t="s">
        <v>736</v>
      </c>
      <c r="FQ189">
        <f t="shared" si="24"/>
        <v>12.56</v>
      </c>
      <c r="FR189">
        <v>60</v>
      </c>
      <c r="FS189">
        <v>90</v>
      </c>
      <c r="FT189" t="s">
        <v>1358</v>
      </c>
      <c r="FU189" t="s">
        <v>980</v>
      </c>
      <c r="FV189">
        <v>25</v>
      </c>
      <c r="FW189">
        <v>60</v>
      </c>
      <c r="FX189">
        <v>90</v>
      </c>
      <c r="FY189" t="s">
        <v>1358</v>
      </c>
      <c r="FZ189" t="s">
        <v>957</v>
      </c>
      <c r="GA189" t="s">
        <v>958</v>
      </c>
      <c r="GB189" t="s">
        <v>959</v>
      </c>
      <c r="GC189" t="s">
        <v>1</v>
      </c>
      <c r="GD189" t="s">
        <v>1</v>
      </c>
      <c r="GE189" s="26" t="s">
        <v>1358</v>
      </c>
      <c r="GF189" t="s">
        <v>957</v>
      </c>
      <c r="GG189" t="s">
        <v>961</v>
      </c>
      <c r="GH189" t="s">
        <v>960</v>
      </c>
      <c r="GI189" s="20">
        <v>1961</v>
      </c>
      <c r="GJ189" s="20">
        <v>1990</v>
      </c>
      <c r="GK189" s="26" t="s">
        <v>1358</v>
      </c>
      <c r="GL189" t="s">
        <v>953</v>
      </c>
      <c r="GM189" t="s">
        <v>955</v>
      </c>
      <c r="GN189" t="s">
        <v>954</v>
      </c>
      <c r="GO189" s="5" t="s">
        <v>956</v>
      </c>
      <c r="GP189" s="5" t="s">
        <v>1382</v>
      </c>
      <c r="GQ189" s="5" t="s">
        <v>962</v>
      </c>
      <c r="GR189" s="5" t="s">
        <v>963</v>
      </c>
      <c r="GS189" s="5" t="s">
        <v>959</v>
      </c>
      <c r="GT189" s="26" t="s">
        <v>1358</v>
      </c>
      <c r="GU189" s="5" t="s">
        <v>962</v>
      </c>
      <c r="GV189" s="5" t="s">
        <v>964</v>
      </c>
      <c r="GW189" s="5" t="s">
        <v>960</v>
      </c>
      <c r="GX189" s="20">
        <v>1961</v>
      </c>
      <c r="GY189" s="20">
        <v>1990</v>
      </c>
      <c r="GZ189" s="26" t="s">
        <v>1358</v>
      </c>
      <c r="HA189" s="5" t="s">
        <v>1</v>
      </c>
      <c r="HB189" s="5" t="s">
        <v>1</v>
      </c>
      <c r="HC189" s="5" t="s">
        <v>1</v>
      </c>
      <c r="HD189" s="5" t="s">
        <v>1</v>
      </c>
      <c r="HE189" t="s">
        <v>1</v>
      </c>
      <c r="HF189" s="5" t="s">
        <v>1</v>
      </c>
      <c r="HG189" s="5" t="s">
        <v>1</v>
      </c>
      <c r="HH189" s="5" t="s">
        <v>1</v>
      </c>
      <c r="HI189" s="5" t="s">
        <v>1</v>
      </c>
      <c r="HJ189" t="s">
        <v>1</v>
      </c>
      <c r="HK189" t="s">
        <v>1</v>
      </c>
      <c r="HL189" t="s">
        <v>1</v>
      </c>
      <c r="HM189" t="s">
        <v>1</v>
      </c>
      <c r="HN189" t="s">
        <v>1</v>
      </c>
      <c r="HO189" t="s">
        <v>1</v>
      </c>
      <c r="HP189" t="s">
        <v>1</v>
      </c>
      <c r="HQ189" t="s">
        <v>983</v>
      </c>
      <c r="HR189" s="28" t="s">
        <v>1031</v>
      </c>
      <c r="HS189" s="5" t="s">
        <v>1039</v>
      </c>
      <c r="HT189" s="28" t="s">
        <v>1425</v>
      </c>
      <c r="HU189" s="5" t="s">
        <v>842</v>
      </c>
      <c r="HV189" s="5" t="s">
        <v>1358</v>
      </c>
      <c r="HW189" t="s">
        <v>937</v>
      </c>
      <c r="HX189" s="3" t="s">
        <v>1</v>
      </c>
      <c r="HY189" s="30">
        <v>38614</v>
      </c>
      <c r="HZ189" t="s">
        <v>1295</v>
      </c>
      <c r="IA189">
        <v>100</v>
      </c>
      <c r="IB189" s="10" t="s">
        <v>1</v>
      </c>
      <c r="IC189" s="10">
        <v>15</v>
      </c>
      <c r="ID189" s="10" t="s">
        <v>984</v>
      </c>
      <c r="IE189" s="10" t="s">
        <v>1</v>
      </c>
      <c r="IF189" s="10" t="s">
        <v>1</v>
      </c>
      <c r="IG189" t="s">
        <v>1</v>
      </c>
      <c r="IH189" s="10" t="s">
        <v>1</v>
      </c>
      <c r="II189" s="10" t="s">
        <v>1</v>
      </c>
      <c r="IJ189" s="10" t="s">
        <v>1</v>
      </c>
      <c r="IK189" t="s">
        <v>1</v>
      </c>
      <c r="IL189" s="10" t="s">
        <v>1</v>
      </c>
      <c r="IM189" s="10" t="s">
        <v>1</v>
      </c>
      <c r="IN189" s="10" t="s">
        <v>1</v>
      </c>
      <c r="IO189" s="10" t="s">
        <v>1</v>
      </c>
      <c r="IP189" s="10" t="s">
        <v>1</v>
      </c>
      <c r="IQ189" s="10" t="s">
        <v>1</v>
      </c>
      <c r="IR189" s="10" t="s">
        <v>1</v>
      </c>
      <c r="IS189" t="s">
        <v>1</v>
      </c>
      <c r="IT189" t="s">
        <v>1</v>
      </c>
      <c r="IW189" t="s">
        <v>1</v>
      </c>
      <c r="IX189" t="s">
        <v>1</v>
      </c>
      <c r="IY189" t="s">
        <v>1</v>
      </c>
      <c r="IZ189" t="s">
        <v>1</v>
      </c>
      <c r="JA189" t="s">
        <v>1</v>
      </c>
      <c r="JB189" s="3" t="s">
        <v>1</v>
      </c>
      <c r="JC189" t="s">
        <v>1</v>
      </c>
      <c r="JD189" s="4" t="s">
        <v>1</v>
      </c>
      <c r="JE189" t="s">
        <v>810</v>
      </c>
      <c r="JF189">
        <v>100</v>
      </c>
      <c r="JG189" t="s">
        <v>859</v>
      </c>
      <c r="JH189" t="s">
        <v>1391</v>
      </c>
      <c r="JI189" t="s">
        <v>947</v>
      </c>
      <c r="JJ189" t="s">
        <v>1</v>
      </c>
      <c r="JK189" t="s">
        <v>1052</v>
      </c>
      <c r="JL189" t="s">
        <v>1</v>
      </c>
      <c r="JM189" t="s">
        <v>1</v>
      </c>
      <c r="JN189" t="s">
        <v>1050</v>
      </c>
      <c r="JO189" s="30">
        <v>38614</v>
      </c>
      <c r="JP189" t="s">
        <v>1051</v>
      </c>
      <c r="JQ189" s="32" t="s">
        <v>1058</v>
      </c>
      <c r="JR189" t="s">
        <v>1066</v>
      </c>
      <c r="JS189" t="s">
        <v>1006</v>
      </c>
      <c r="JT189" t="s">
        <v>995</v>
      </c>
      <c r="JU189" t="s">
        <v>1</v>
      </c>
      <c r="JV189" t="s">
        <v>1424</v>
      </c>
      <c r="JW189" t="s">
        <v>842</v>
      </c>
      <c r="JX189">
        <v>0</v>
      </c>
      <c r="JY189">
        <v>80</v>
      </c>
      <c r="JZ189" t="s">
        <v>800</v>
      </c>
      <c r="KA189" t="s">
        <v>206</v>
      </c>
      <c r="KB189" t="s">
        <v>738</v>
      </c>
      <c r="KC189" t="s">
        <v>1</v>
      </c>
      <c r="KD189" t="s">
        <v>1</v>
      </c>
      <c r="KE189" t="s">
        <v>1</v>
      </c>
      <c r="KF189" t="s">
        <v>1</v>
      </c>
      <c r="KG189" t="s">
        <v>1</v>
      </c>
      <c r="KH189" t="s">
        <v>1</v>
      </c>
      <c r="KI189" t="s">
        <v>1</v>
      </c>
      <c r="KJ189" t="s">
        <v>1</v>
      </c>
      <c r="KK189" t="s">
        <v>1</v>
      </c>
    </row>
    <row r="190" spans="1:297" x14ac:dyDescent="0.2">
      <c r="A190" s="3" t="s">
        <v>871</v>
      </c>
      <c r="B190" t="s">
        <v>705</v>
      </c>
      <c r="C190" t="s">
        <v>898</v>
      </c>
      <c r="D190" t="s">
        <v>690</v>
      </c>
      <c r="E190">
        <v>29</v>
      </c>
      <c r="F190" t="s">
        <v>213</v>
      </c>
      <c r="G190" t="s">
        <v>1</v>
      </c>
      <c r="H190" s="26" t="s">
        <v>1420</v>
      </c>
      <c r="I190" t="s">
        <v>1</v>
      </c>
      <c r="J190" t="s">
        <v>1</v>
      </c>
      <c r="K190" t="s">
        <v>1</v>
      </c>
      <c r="L190" t="s">
        <v>1</v>
      </c>
      <c r="M190" t="s">
        <v>1</v>
      </c>
      <c r="N190" t="s">
        <v>1</v>
      </c>
      <c r="O190" t="s">
        <v>1</v>
      </c>
      <c r="P190" t="s">
        <v>1</v>
      </c>
      <c r="Q190" t="s">
        <v>1</v>
      </c>
      <c r="R190" t="s">
        <v>1</v>
      </c>
      <c r="S190" t="s">
        <v>1</v>
      </c>
      <c r="T190" t="s">
        <v>1</v>
      </c>
      <c r="U190" t="s">
        <v>1</v>
      </c>
      <c r="V190" t="s">
        <v>1</v>
      </c>
      <c r="W190" t="s">
        <v>1</v>
      </c>
      <c r="X190" t="s">
        <v>1</v>
      </c>
      <c r="Y190" t="s">
        <v>1</v>
      </c>
      <c r="Z190" t="s">
        <v>1</v>
      </c>
      <c r="AA190" t="s">
        <v>1</v>
      </c>
      <c r="AB190" t="s">
        <v>1</v>
      </c>
      <c r="AC190" t="s">
        <v>1</v>
      </c>
      <c r="AD190" t="s">
        <v>1</v>
      </c>
      <c r="AE190" t="s">
        <v>1</v>
      </c>
      <c r="AF190" t="s">
        <v>1</v>
      </c>
      <c r="AG190" t="s">
        <v>1</v>
      </c>
      <c r="AH190" t="s">
        <v>1</v>
      </c>
      <c r="AI190" t="s">
        <v>1</v>
      </c>
      <c r="AJ190" t="s">
        <v>1</v>
      </c>
      <c r="AK190" t="s">
        <v>1</v>
      </c>
      <c r="AL190" t="s">
        <v>1</v>
      </c>
      <c r="AM190" t="s">
        <v>1</v>
      </c>
      <c r="AN190" s="3" t="s">
        <v>871</v>
      </c>
      <c r="AO190" t="str">
        <f t="shared" si="25"/>
        <v>180-12</v>
      </c>
      <c r="AP190">
        <f t="shared" si="10"/>
        <v>29</v>
      </c>
      <c r="AQ190">
        <f t="shared" si="11"/>
        <v>29</v>
      </c>
      <c r="AR190" t="s">
        <v>1355</v>
      </c>
      <c r="AS190" t="s">
        <v>1356</v>
      </c>
      <c r="AT190" t="s">
        <v>714</v>
      </c>
      <c r="AU190" t="s">
        <v>1</v>
      </c>
      <c r="AV190" t="s">
        <v>1</v>
      </c>
      <c r="AW190">
        <v>58.37</v>
      </c>
      <c r="AX190">
        <v>13.48</v>
      </c>
      <c r="AY190" t="s">
        <v>737</v>
      </c>
      <c r="AZ190">
        <f t="shared" si="19"/>
        <v>5.3999999999999999E-2</v>
      </c>
      <c r="BA190" s="3">
        <f t="shared" si="20"/>
        <v>6</v>
      </c>
      <c r="BB190" s="10" t="s">
        <v>1355</v>
      </c>
      <c r="BC190" t="s">
        <v>1461</v>
      </c>
      <c r="BD190" s="30">
        <v>38575</v>
      </c>
      <c r="BE190" s="3" t="s">
        <v>933</v>
      </c>
      <c r="BF190" s="30">
        <v>38936</v>
      </c>
      <c r="BG190" s="19" t="s">
        <v>934</v>
      </c>
      <c r="BH190" s="19" t="s">
        <v>934</v>
      </c>
      <c r="BI190" s="19" t="s">
        <v>945</v>
      </c>
      <c r="BJ190" s="19" t="s">
        <v>934</v>
      </c>
      <c r="BK190" s="19" t="s">
        <v>945</v>
      </c>
      <c r="BL190" s="19" t="s">
        <v>945</v>
      </c>
      <c r="BM190" s="19" t="s">
        <v>945</v>
      </c>
      <c r="BN190" s="19" t="s">
        <v>934</v>
      </c>
      <c r="BO190" s="19" t="s">
        <v>945</v>
      </c>
      <c r="BP190" s="19" t="s">
        <v>945</v>
      </c>
      <c r="BQ190" s="24" t="s">
        <v>945</v>
      </c>
      <c r="BR190" s="24" t="s">
        <v>945</v>
      </c>
      <c r="BS190" s="24" t="s">
        <v>934</v>
      </c>
      <c r="BT190" s="24" t="s">
        <v>934</v>
      </c>
      <c r="BU190" s="24" t="s">
        <v>934</v>
      </c>
      <c r="BV190" s="24" t="s">
        <v>934</v>
      </c>
      <c r="BW190" s="24" t="s">
        <v>934</v>
      </c>
      <c r="BX190" s="24" t="s">
        <v>934</v>
      </c>
      <c r="BY190" s="25" t="s">
        <v>945</v>
      </c>
      <c r="BZ190" t="s">
        <v>62</v>
      </c>
      <c r="CA190" s="20" t="s">
        <v>951</v>
      </c>
      <c r="CB190" t="s">
        <v>1</v>
      </c>
      <c r="CC190" s="4">
        <v>5080</v>
      </c>
      <c r="CD190" s="4" t="s">
        <v>1</v>
      </c>
      <c r="CE190" s="4" t="s">
        <v>1</v>
      </c>
      <c r="CF190" s="5" t="s">
        <v>793</v>
      </c>
      <c r="CG190">
        <v>100</v>
      </c>
      <c r="CH190" t="s">
        <v>1</v>
      </c>
      <c r="CI190" s="28" t="s">
        <v>1</v>
      </c>
      <c r="CJ190" s="10" t="s">
        <v>1</v>
      </c>
      <c r="CK190" s="9" t="s">
        <v>1</v>
      </c>
      <c r="CL190" s="4" t="s">
        <v>1</v>
      </c>
      <c r="CM190" s="4" t="s">
        <v>1</v>
      </c>
      <c r="CN190" s="4" t="s">
        <v>1</v>
      </c>
      <c r="CO190" s="4" t="s">
        <v>1</v>
      </c>
      <c r="CP190" s="9" t="s">
        <v>1396</v>
      </c>
      <c r="CQ190" s="30">
        <v>38831</v>
      </c>
      <c r="CR190" s="30">
        <f>BF190</f>
        <v>38936</v>
      </c>
      <c r="CS190" s="4">
        <v>100</v>
      </c>
      <c r="CT190" s="4" t="s">
        <v>1458</v>
      </c>
      <c r="CU190" s="4" t="b">
        <v>1</v>
      </c>
      <c r="CV190" t="s">
        <v>855</v>
      </c>
      <c r="CW190">
        <v>100</v>
      </c>
      <c r="CX190">
        <v>0</v>
      </c>
      <c r="CY190">
        <v>30</v>
      </c>
      <c r="CZ190" t="s">
        <v>1358</v>
      </c>
      <c r="DA190" t="s">
        <v>734</v>
      </c>
      <c r="DB190">
        <v>64</v>
      </c>
      <c r="DC190">
        <v>0</v>
      </c>
      <c r="DD190">
        <v>30</v>
      </c>
      <c r="DE190" t="s">
        <v>1358</v>
      </c>
      <c r="DF190" t="s">
        <v>735</v>
      </c>
      <c r="DG190">
        <v>22</v>
      </c>
      <c r="DH190">
        <v>0</v>
      </c>
      <c r="DI190">
        <v>30</v>
      </c>
      <c r="DJ190" t="s">
        <v>1358</v>
      </c>
      <c r="DK190" t="s">
        <v>736</v>
      </c>
      <c r="DL190">
        <v>14</v>
      </c>
      <c r="DM190">
        <v>0</v>
      </c>
      <c r="DN190">
        <v>30</v>
      </c>
      <c r="DO190" t="s">
        <v>1358</v>
      </c>
      <c r="DP190" t="s">
        <v>6</v>
      </c>
      <c r="DQ190" t="s">
        <v>813</v>
      </c>
      <c r="DR190">
        <v>6.4</v>
      </c>
      <c r="DS190">
        <v>0</v>
      </c>
      <c r="DT190">
        <v>30</v>
      </c>
      <c r="DU190" t="s">
        <v>1358</v>
      </c>
      <c r="DV190" t="s">
        <v>980</v>
      </c>
      <c r="DW190">
        <v>28</v>
      </c>
      <c r="DX190">
        <v>0</v>
      </c>
      <c r="DY190">
        <v>30</v>
      </c>
      <c r="DZ190" t="s">
        <v>1358</v>
      </c>
      <c r="EA190" t="s">
        <v>982</v>
      </c>
      <c r="EB190">
        <v>16</v>
      </c>
      <c r="EC190">
        <v>0</v>
      </c>
      <c r="ED190">
        <v>30</v>
      </c>
      <c r="EE190" t="s">
        <v>1358</v>
      </c>
      <c r="EG190" t="s">
        <v>981</v>
      </c>
      <c r="EH190">
        <f t="shared" si="21"/>
        <v>1.4</v>
      </c>
      <c r="EI190">
        <v>0</v>
      </c>
      <c r="EJ190">
        <v>30</v>
      </c>
      <c r="EK190" t="s">
        <v>1358</v>
      </c>
      <c r="EL190" t="s">
        <v>734</v>
      </c>
      <c r="EM190">
        <v>71</v>
      </c>
      <c r="EN190">
        <v>30</v>
      </c>
      <c r="EO190">
        <v>60</v>
      </c>
      <c r="EP190" t="s">
        <v>1358</v>
      </c>
      <c r="EQ190" t="s">
        <v>735</v>
      </c>
      <c r="ER190">
        <v>17</v>
      </c>
      <c r="ES190">
        <v>30</v>
      </c>
      <c r="ET190">
        <v>60</v>
      </c>
      <c r="EU190" t="s">
        <v>1358</v>
      </c>
      <c r="EV190" t="s">
        <v>736</v>
      </c>
      <c r="EW190">
        <v>12</v>
      </c>
      <c r="EX190">
        <v>30</v>
      </c>
      <c r="EY190">
        <v>60</v>
      </c>
      <c r="EZ190" t="s">
        <v>1358</v>
      </c>
      <c r="FA190" t="s">
        <v>980</v>
      </c>
      <c r="FB190">
        <v>25</v>
      </c>
      <c r="FC190">
        <v>30</v>
      </c>
      <c r="FD190">
        <v>60</v>
      </c>
      <c r="FE190" t="s">
        <v>1358</v>
      </c>
      <c r="FF190" t="s">
        <v>734</v>
      </c>
      <c r="FG190">
        <f t="shared" si="22"/>
        <v>67.34</v>
      </c>
      <c r="FH190">
        <v>60</v>
      </c>
      <c r="FI190">
        <v>90</v>
      </c>
      <c r="FJ190" t="s">
        <v>1358</v>
      </c>
      <c r="FK190" t="s">
        <v>735</v>
      </c>
      <c r="FL190">
        <f t="shared" si="23"/>
        <v>20.100000000000001</v>
      </c>
      <c r="FM190">
        <v>60</v>
      </c>
      <c r="FN190">
        <v>90</v>
      </c>
      <c r="FO190" t="s">
        <v>1358</v>
      </c>
      <c r="FP190" t="s">
        <v>736</v>
      </c>
      <c r="FQ190">
        <f t="shared" si="24"/>
        <v>12.56</v>
      </c>
      <c r="FR190">
        <v>60</v>
      </c>
      <c r="FS190">
        <v>90</v>
      </c>
      <c r="FT190" t="s">
        <v>1358</v>
      </c>
      <c r="FU190" t="s">
        <v>980</v>
      </c>
      <c r="FV190">
        <v>25</v>
      </c>
      <c r="FW190">
        <v>60</v>
      </c>
      <c r="FX190">
        <v>90</v>
      </c>
      <c r="FY190" t="s">
        <v>1358</v>
      </c>
      <c r="FZ190" t="s">
        <v>957</v>
      </c>
      <c r="GA190" t="s">
        <v>958</v>
      </c>
      <c r="GB190" t="s">
        <v>959</v>
      </c>
      <c r="GC190" t="s">
        <v>1</v>
      </c>
      <c r="GD190" t="s">
        <v>1</v>
      </c>
      <c r="GE190" s="26" t="s">
        <v>1358</v>
      </c>
      <c r="GF190" t="s">
        <v>957</v>
      </c>
      <c r="GG190" t="s">
        <v>961</v>
      </c>
      <c r="GH190" t="s">
        <v>960</v>
      </c>
      <c r="GI190" s="20">
        <v>1961</v>
      </c>
      <c r="GJ190" s="20">
        <v>1990</v>
      </c>
      <c r="GK190" s="26" t="s">
        <v>1358</v>
      </c>
      <c r="GL190" t="s">
        <v>953</v>
      </c>
      <c r="GM190" t="s">
        <v>955</v>
      </c>
      <c r="GN190" t="s">
        <v>954</v>
      </c>
      <c r="GO190" s="5" t="s">
        <v>956</v>
      </c>
      <c r="GP190" s="5" t="s">
        <v>1382</v>
      </c>
      <c r="GQ190" s="5" t="s">
        <v>962</v>
      </c>
      <c r="GR190" s="5" t="s">
        <v>963</v>
      </c>
      <c r="GS190" s="5" t="s">
        <v>959</v>
      </c>
      <c r="GT190" s="26" t="s">
        <v>1358</v>
      </c>
      <c r="GU190" s="5" t="s">
        <v>962</v>
      </c>
      <c r="GV190" s="5" t="s">
        <v>964</v>
      </c>
      <c r="GW190" s="5" t="s">
        <v>960</v>
      </c>
      <c r="GX190" s="20">
        <v>1961</v>
      </c>
      <c r="GY190" s="20">
        <v>1990</v>
      </c>
      <c r="GZ190" s="26" t="s">
        <v>1358</v>
      </c>
      <c r="HA190" s="5" t="s">
        <v>1</v>
      </c>
      <c r="HB190" s="5" t="s">
        <v>1</v>
      </c>
      <c r="HC190" s="5" t="s">
        <v>1</v>
      </c>
      <c r="HD190" s="5" t="s">
        <v>1</v>
      </c>
      <c r="HE190" t="s">
        <v>1</v>
      </c>
      <c r="HF190" s="5" t="s">
        <v>1</v>
      </c>
      <c r="HG190" s="5" t="s">
        <v>1</v>
      </c>
      <c r="HH190" s="5" t="s">
        <v>1</v>
      </c>
      <c r="HI190" s="5" t="s">
        <v>1</v>
      </c>
      <c r="HJ190" t="s">
        <v>1</v>
      </c>
      <c r="HK190" t="s">
        <v>1</v>
      </c>
      <c r="HL190" t="s">
        <v>1</v>
      </c>
      <c r="HM190" t="s">
        <v>1</v>
      </c>
      <c r="HN190" t="s">
        <v>1</v>
      </c>
      <c r="HO190" t="s">
        <v>1</v>
      </c>
      <c r="HP190" t="s">
        <v>1</v>
      </c>
      <c r="HQ190" t="s">
        <v>983</v>
      </c>
      <c r="HR190" s="28" t="s">
        <v>1032</v>
      </c>
      <c r="HS190" s="5" t="s">
        <v>1039</v>
      </c>
      <c r="HT190" s="28" t="s">
        <v>1425</v>
      </c>
      <c r="HU190" s="5" t="s">
        <v>842</v>
      </c>
      <c r="HV190" s="5" t="s">
        <v>1358</v>
      </c>
      <c r="HW190" t="s">
        <v>937</v>
      </c>
      <c r="HX190" s="3" t="s">
        <v>1</v>
      </c>
      <c r="HY190" s="30">
        <v>38831</v>
      </c>
      <c r="HZ190" t="s">
        <v>1295</v>
      </c>
      <c r="IA190">
        <v>100</v>
      </c>
      <c r="IB190" s="10" t="s">
        <v>1</v>
      </c>
      <c r="IC190" s="10">
        <v>15</v>
      </c>
      <c r="ID190" s="10" t="s">
        <v>984</v>
      </c>
      <c r="IE190" s="10" t="s">
        <v>1</v>
      </c>
      <c r="IF190" s="10" t="s">
        <v>1</v>
      </c>
      <c r="IG190" t="s">
        <v>1</v>
      </c>
      <c r="IH190" s="10" t="s">
        <v>1</v>
      </c>
      <c r="II190" s="10" t="s">
        <v>1</v>
      </c>
      <c r="IJ190" s="10" t="s">
        <v>1</v>
      </c>
      <c r="IK190" t="s">
        <v>1</v>
      </c>
      <c r="IL190" s="10" t="s">
        <v>1</v>
      </c>
      <c r="IM190" s="10" t="s">
        <v>1</v>
      </c>
      <c r="IN190" s="10" t="s">
        <v>1</v>
      </c>
      <c r="IO190" s="10" t="s">
        <v>1</v>
      </c>
      <c r="IP190" s="10" t="s">
        <v>1</v>
      </c>
      <c r="IQ190" s="10" t="s">
        <v>1</v>
      </c>
      <c r="IR190" s="10" t="s">
        <v>1</v>
      </c>
      <c r="IS190" t="s">
        <v>1</v>
      </c>
      <c r="IT190" t="s">
        <v>1</v>
      </c>
      <c r="IW190" t="s">
        <v>1</v>
      </c>
      <c r="IX190" t="s">
        <v>1</v>
      </c>
      <c r="IY190" t="s">
        <v>1</v>
      </c>
      <c r="IZ190" t="s">
        <v>1</v>
      </c>
      <c r="JA190" t="s">
        <v>1</v>
      </c>
      <c r="JB190" s="3" t="s">
        <v>1</v>
      </c>
      <c r="JC190" t="s">
        <v>1</v>
      </c>
      <c r="JD190" s="4" t="s">
        <v>1</v>
      </c>
      <c r="JE190" t="s">
        <v>810</v>
      </c>
      <c r="JF190">
        <v>100</v>
      </c>
      <c r="JG190" t="s">
        <v>859</v>
      </c>
      <c r="JH190" t="s">
        <v>1391</v>
      </c>
      <c r="JI190" t="s">
        <v>1054</v>
      </c>
      <c r="JJ190" t="s">
        <v>1</v>
      </c>
      <c r="JK190" s="33" t="s">
        <v>1056</v>
      </c>
      <c r="JL190" t="s">
        <v>1</v>
      </c>
      <c r="JM190" t="s">
        <v>1</v>
      </c>
      <c r="JN190" t="s">
        <v>1050</v>
      </c>
      <c r="JO190" s="30">
        <v>38831</v>
      </c>
      <c r="JP190" t="s">
        <v>1051</v>
      </c>
      <c r="JQ190" s="32" t="s">
        <v>1058</v>
      </c>
      <c r="JR190" t="s">
        <v>1066</v>
      </c>
      <c r="JS190" t="s">
        <v>1007</v>
      </c>
      <c r="JT190" t="s">
        <v>995</v>
      </c>
      <c r="JU190" t="s">
        <v>1</v>
      </c>
      <c r="JV190" t="s">
        <v>1424</v>
      </c>
      <c r="JW190" t="s">
        <v>842</v>
      </c>
      <c r="JX190">
        <v>0</v>
      </c>
      <c r="JY190">
        <v>80</v>
      </c>
      <c r="JZ190" t="s">
        <v>800</v>
      </c>
      <c r="KA190" t="s">
        <v>206</v>
      </c>
      <c r="KB190" t="s">
        <v>738</v>
      </c>
      <c r="KC190" t="s">
        <v>1</v>
      </c>
      <c r="KD190" t="s">
        <v>1</v>
      </c>
      <c r="KE190" t="s">
        <v>1</v>
      </c>
      <c r="KF190" t="s">
        <v>1</v>
      </c>
      <c r="KG190" t="s">
        <v>1</v>
      </c>
      <c r="KH190" t="s">
        <v>1</v>
      </c>
      <c r="KI190" t="s">
        <v>1</v>
      </c>
      <c r="KJ190" t="s">
        <v>1</v>
      </c>
      <c r="KK190" t="s">
        <v>1</v>
      </c>
    </row>
    <row r="191" spans="1:297" x14ac:dyDescent="0.2">
      <c r="A191" s="3" t="s">
        <v>872</v>
      </c>
      <c r="B191" t="s">
        <v>705</v>
      </c>
      <c r="C191" t="s">
        <v>899</v>
      </c>
      <c r="D191" t="s">
        <v>690</v>
      </c>
      <c r="E191">
        <v>29</v>
      </c>
      <c r="F191" t="s">
        <v>213</v>
      </c>
      <c r="G191" t="s">
        <v>1</v>
      </c>
      <c r="H191" s="26" t="s">
        <v>1420</v>
      </c>
      <c r="I191" t="s">
        <v>1</v>
      </c>
      <c r="J191" t="s">
        <v>1</v>
      </c>
      <c r="K191" t="s">
        <v>1</v>
      </c>
      <c r="L191" t="s">
        <v>1</v>
      </c>
      <c r="M191" t="s">
        <v>1</v>
      </c>
      <c r="N191" t="s">
        <v>1</v>
      </c>
      <c r="O191" t="s">
        <v>1</v>
      </c>
      <c r="P191" t="s">
        <v>1</v>
      </c>
      <c r="Q191" t="s">
        <v>1</v>
      </c>
      <c r="R191" t="s">
        <v>1</v>
      </c>
      <c r="S191" t="s">
        <v>1</v>
      </c>
      <c r="T191" t="s">
        <v>1</v>
      </c>
      <c r="U191" t="s">
        <v>1</v>
      </c>
      <c r="V191" t="s">
        <v>1</v>
      </c>
      <c r="W191" t="s">
        <v>1</v>
      </c>
      <c r="X191" t="s">
        <v>1</v>
      </c>
      <c r="Y191" t="s">
        <v>1</v>
      </c>
      <c r="Z191" t="s">
        <v>1</v>
      </c>
      <c r="AA191" t="s">
        <v>1</v>
      </c>
      <c r="AB191" t="s">
        <v>1</v>
      </c>
      <c r="AC191" t="s">
        <v>1</v>
      </c>
      <c r="AD191" t="s">
        <v>1</v>
      </c>
      <c r="AE191" t="s">
        <v>1</v>
      </c>
      <c r="AF191" t="s">
        <v>1</v>
      </c>
      <c r="AG191" t="s">
        <v>1</v>
      </c>
      <c r="AH191" t="s">
        <v>1</v>
      </c>
      <c r="AI191" t="s">
        <v>1</v>
      </c>
      <c r="AJ191" t="s">
        <v>1</v>
      </c>
      <c r="AK191" t="s">
        <v>1</v>
      </c>
      <c r="AL191" t="s">
        <v>1</v>
      </c>
      <c r="AM191" t="s">
        <v>1</v>
      </c>
      <c r="AN191" s="3" t="s">
        <v>872</v>
      </c>
      <c r="AO191" t="str">
        <f t="shared" si="25"/>
        <v>180-13</v>
      </c>
      <c r="AP191">
        <f t="shared" si="10"/>
        <v>29</v>
      </c>
      <c r="AQ191">
        <f t="shared" si="11"/>
        <v>29</v>
      </c>
      <c r="AR191" t="s">
        <v>1355</v>
      </c>
      <c r="AS191" t="s">
        <v>1356</v>
      </c>
      <c r="AT191" t="s">
        <v>714</v>
      </c>
      <c r="AU191" t="s">
        <v>1</v>
      </c>
      <c r="AV191" t="s">
        <v>1</v>
      </c>
      <c r="AW191">
        <v>58.37</v>
      </c>
      <c r="AX191">
        <v>13.48</v>
      </c>
      <c r="AY191" t="s">
        <v>737</v>
      </c>
      <c r="AZ191">
        <f t="shared" si="19"/>
        <v>5.3999999999999999E-2</v>
      </c>
      <c r="BA191" s="3">
        <f t="shared" si="20"/>
        <v>6</v>
      </c>
      <c r="BB191" s="10" t="s">
        <v>1355</v>
      </c>
      <c r="BC191" t="s">
        <v>1461</v>
      </c>
      <c r="BD191" s="30">
        <v>38575</v>
      </c>
      <c r="BE191" s="3" t="s">
        <v>933</v>
      </c>
      <c r="BF191" s="30">
        <v>38936</v>
      </c>
      <c r="BG191" s="19" t="s">
        <v>934</v>
      </c>
      <c r="BH191" s="19" t="s">
        <v>934</v>
      </c>
      <c r="BI191" s="19" t="s">
        <v>945</v>
      </c>
      <c r="BJ191" s="19" t="s">
        <v>934</v>
      </c>
      <c r="BK191" s="19" t="s">
        <v>945</v>
      </c>
      <c r="BL191" s="19" t="s">
        <v>945</v>
      </c>
      <c r="BM191" s="19" t="s">
        <v>945</v>
      </c>
      <c r="BN191" s="19" t="s">
        <v>934</v>
      </c>
      <c r="BO191" s="19" t="s">
        <v>945</v>
      </c>
      <c r="BP191" s="19" t="s">
        <v>945</v>
      </c>
      <c r="BQ191" s="24" t="s">
        <v>945</v>
      </c>
      <c r="BR191" s="24" t="s">
        <v>945</v>
      </c>
      <c r="BS191" s="24" t="s">
        <v>934</v>
      </c>
      <c r="BT191" s="24" t="s">
        <v>934</v>
      </c>
      <c r="BU191" s="24" t="s">
        <v>934</v>
      </c>
      <c r="BV191" s="24" t="s">
        <v>934</v>
      </c>
      <c r="BW191" s="24" t="s">
        <v>934</v>
      </c>
      <c r="BX191" s="24" t="s">
        <v>934</v>
      </c>
      <c r="BY191" s="25" t="s">
        <v>945</v>
      </c>
      <c r="BZ191" t="s">
        <v>62</v>
      </c>
      <c r="CA191" s="20" t="s">
        <v>949</v>
      </c>
      <c r="CB191" t="s">
        <v>1</v>
      </c>
      <c r="CC191" s="4">
        <v>7390</v>
      </c>
      <c r="CD191" s="4" t="s">
        <v>1</v>
      </c>
      <c r="CE191" s="4" t="s">
        <v>1</v>
      </c>
      <c r="CF191" s="5" t="s">
        <v>793</v>
      </c>
      <c r="CG191">
        <v>100</v>
      </c>
      <c r="CH191" t="s">
        <v>1</v>
      </c>
      <c r="CI191" s="28" t="s">
        <v>1</v>
      </c>
      <c r="CJ191" s="10" t="s">
        <v>1</v>
      </c>
      <c r="CK191" s="9" t="s">
        <v>1</v>
      </c>
      <c r="CL191" s="4" t="s">
        <v>1</v>
      </c>
      <c r="CM191" s="4" t="s">
        <v>1</v>
      </c>
      <c r="CN191" s="4" t="s">
        <v>1</v>
      </c>
      <c r="CO191" s="4" t="s">
        <v>1</v>
      </c>
      <c r="CP191" s="9" t="s">
        <v>1396</v>
      </c>
      <c r="CQ191" s="30">
        <v>38811</v>
      </c>
      <c r="CR191" s="30">
        <f>BF191</f>
        <v>38936</v>
      </c>
      <c r="CS191" s="4">
        <v>100</v>
      </c>
      <c r="CT191" s="4" t="s">
        <v>1458</v>
      </c>
      <c r="CU191" s="4" t="b">
        <v>1</v>
      </c>
      <c r="CV191" t="s">
        <v>855</v>
      </c>
      <c r="CW191">
        <v>100</v>
      </c>
      <c r="CX191">
        <v>0</v>
      </c>
      <c r="CY191">
        <v>30</v>
      </c>
      <c r="CZ191" t="s">
        <v>1358</v>
      </c>
      <c r="DA191" t="s">
        <v>734</v>
      </c>
      <c r="DB191">
        <v>64</v>
      </c>
      <c r="DC191">
        <v>0</v>
      </c>
      <c r="DD191">
        <v>30</v>
      </c>
      <c r="DE191" t="s">
        <v>1358</v>
      </c>
      <c r="DF191" t="s">
        <v>735</v>
      </c>
      <c r="DG191">
        <v>22</v>
      </c>
      <c r="DH191">
        <v>0</v>
      </c>
      <c r="DI191">
        <v>30</v>
      </c>
      <c r="DJ191" t="s">
        <v>1358</v>
      </c>
      <c r="DK191" t="s">
        <v>736</v>
      </c>
      <c r="DL191">
        <v>14</v>
      </c>
      <c r="DM191">
        <v>0</v>
      </c>
      <c r="DN191">
        <v>30</v>
      </c>
      <c r="DO191" t="s">
        <v>1358</v>
      </c>
      <c r="DP191" t="s">
        <v>6</v>
      </c>
      <c r="DQ191" t="s">
        <v>813</v>
      </c>
      <c r="DR191">
        <v>6.4</v>
      </c>
      <c r="DS191">
        <v>0</v>
      </c>
      <c r="DT191">
        <v>30</v>
      </c>
      <c r="DU191" t="s">
        <v>1358</v>
      </c>
      <c r="DV191" t="s">
        <v>980</v>
      </c>
      <c r="DW191">
        <v>28</v>
      </c>
      <c r="DX191">
        <v>0</v>
      </c>
      <c r="DY191">
        <v>30</v>
      </c>
      <c r="DZ191" t="s">
        <v>1358</v>
      </c>
      <c r="EA191" t="s">
        <v>982</v>
      </c>
      <c r="EB191">
        <v>16</v>
      </c>
      <c r="EC191">
        <v>0</v>
      </c>
      <c r="ED191">
        <v>30</v>
      </c>
      <c r="EE191" t="s">
        <v>1358</v>
      </c>
      <c r="EG191" t="s">
        <v>981</v>
      </c>
      <c r="EH191">
        <f t="shared" si="21"/>
        <v>1.4</v>
      </c>
      <c r="EI191">
        <v>0</v>
      </c>
      <c r="EJ191">
        <v>30</v>
      </c>
      <c r="EK191" t="s">
        <v>1358</v>
      </c>
      <c r="EL191" t="s">
        <v>734</v>
      </c>
      <c r="EM191">
        <v>71</v>
      </c>
      <c r="EN191">
        <v>30</v>
      </c>
      <c r="EO191">
        <v>60</v>
      </c>
      <c r="EP191" t="s">
        <v>1358</v>
      </c>
      <c r="EQ191" t="s">
        <v>735</v>
      </c>
      <c r="ER191">
        <v>17</v>
      </c>
      <c r="ES191">
        <v>30</v>
      </c>
      <c r="ET191">
        <v>60</v>
      </c>
      <c r="EU191" t="s">
        <v>1358</v>
      </c>
      <c r="EV191" t="s">
        <v>736</v>
      </c>
      <c r="EW191">
        <v>12</v>
      </c>
      <c r="EX191">
        <v>30</v>
      </c>
      <c r="EY191">
        <v>60</v>
      </c>
      <c r="EZ191" t="s">
        <v>1358</v>
      </c>
      <c r="FA191" t="s">
        <v>980</v>
      </c>
      <c r="FB191">
        <v>25</v>
      </c>
      <c r="FC191">
        <v>30</v>
      </c>
      <c r="FD191">
        <v>60</v>
      </c>
      <c r="FE191" t="s">
        <v>1358</v>
      </c>
      <c r="FF191" t="s">
        <v>734</v>
      </c>
      <c r="FG191">
        <f t="shared" si="22"/>
        <v>67.34</v>
      </c>
      <c r="FH191">
        <v>60</v>
      </c>
      <c r="FI191">
        <v>90</v>
      </c>
      <c r="FJ191" t="s">
        <v>1358</v>
      </c>
      <c r="FK191" t="s">
        <v>735</v>
      </c>
      <c r="FL191">
        <f t="shared" si="23"/>
        <v>20.100000000000001</v>
      </c>
      <c r="FM191">
        <v>60</v>
      </c>
      <c r="FN191">
        <v>90</v>
      </c>
      <c r="FO191" t="s">
        <v>1358</v>
      </c>
      <c r="FP191" t="s">
        <v>736</v>
      </c>
      <c r="FQ191">
        <f t="shared" si="24"/>
        <v>12.56</v>
      </c>
      <c r="FR191">
        <v>60</v>
      </c>
      <c r="FS191">
        <v>90</v>
      </c>
      <c r="FT191" t="s">
        <v>1358</v>
      </c>
      <c r="FU191" t="s">
        <v>980</v>
      </c>
      <c r="FV191">
        <v>25</v>
      </c>
      <c r="FW191">
        <v>60</v>
      </c>
      <c r="FX191">
        <v>90</v>
      </c>
      <c r="FY191" t="s">
        <v>1358</v>
      </c>
      <c r="FZ191" t="s">
        <v>957</v>
      </c>
      <c r="GA191" t="s">
        <v>958</v>
      </c>
      <c r="GB191" t="s">
        <v>959</v>
      </c>
      <c r="GC191" t="s">
        <v>1</v>
      </c>
      <c r="GD191" t="s">
        <v>1</v>
      </c>
      <c r="GE191" s="26" t="s">
        <v>1358</v>
      </c>
      <c r="GF191" t="s">
        <v>957</v>
      </c>
      <c r="GG191" t="s">
        <v>961</v>
      </c>
      <c r="GH191" t="s">
        <v>960</v>
      </c>
      <c r="GI191" s="20">
        <v>1961</v>
      </c>
      <c r="GJ191" s="20">
        <v>1990</v>
      </c>
      <c r="GK191" s="26" t="s">
        <v>1358</v>
      </c>
      <c r="GL191" t="s">
        <v>953</v>
      </c>
      <c r="GM191" t="s">
        <v>955</v>
      </c>
      <c r="GN191" t="s">
        <v>954</v>
      </c>
      <c r="GO191" s="5" t="s">
        <v>956</v>
      </c>
      <c r="GP191" s="5" t="s">
        <v>1382</v>
      </c>
      <c r="GQ191" s="5" t="s">
        <v>962</v>
      </c>
      <c r="GR191" s="5" t="s">
        <v>963</v>
      </c>
      <c r="GS191" s="5" t="s">
        <v>959</v>
      </c>
      <c r="GT191" s="26" t="s">
        <v>1358</v>
      </c>
      <c r="GU191" s="5" t="s">
        <v>962</v>
      </c>
      <c r="GV191" s="5" t="s">
        <v>964</v>
      </c>
      <c r="GW191" s="5" t="s">
        <v>960</v>
      </c>
      <c r="GX191" s="20">
        <v>1961</v>
      </c>
      <c r="GY191" s="20">
        <v>1990</v>
      </c>
      <c r="GZ191" s="26" t="s">
        <v>1358</v>
      </c>
      <c r="HA191" s="5" t="s">
        <v>1</v>
      </c>
      <c r="HB191" s="5" t="s">
        <v>1</v>
      </c>
      <c r="HC191" s="5" t="s">
        <v>1</v>
      </c>
      <c r="HD191" s="5" t="s">
        <v>1</v>
      </c>
      <c r="HE191" t="s">
        <v>1</v>
      </c>
      <c r="HF191" s="5" t="s">
        <v>1</v>
      </c>
      <c r="HG191" s="5" t="s">
        <v>1</v>
      </c>
      <c r="HH191" s="5" t="s">
        <v>1</v>
      </c>
      <c r="HI191" s="5" t="s">
        <v>1</v>
      </c>
      <c r="HJ191" t="s">
        <v>1</v>
      </c>
      <c r="HK191" t="s">
        <v>1</v>
      </c>
      <c r="HL191" t="s">
        <v>1</v>
      </c>
      <c r="HM191" t="s">
        <v>1</v>
      </c>
      <c r="HN191" t="s">
        <v>1</v>
      </c>
      <c r="HO191" t="s">
        <v>1</v>
      </c>
      <c r="HP191" t="s">
        <v>1</v>
      </c>
      <c r="HQ191" t="s">
        <v>983</v>
      </c>
      <c r="HR191" t="s">
        <v>1033</v>
      </c>
      <c r="HS191" s="5" t="s">
        <v>1039</v>
      </c>
      <c r="HT191" s="28" t="s">
        <v>1425</v>
      </c>
      <c r="HU191" s="5" t="s">
        <v>842</v>
      </c>
      <c r="HV191" s="5" t="s">
        <v>1358</v>
      </c>
      <c r="HW191" t="s">
        <v>937</v>
      </c>
      <c r="HX191" s="3" t="s">
        <v>1</v>
      </c>
      <c r="HY191" s="30">
        <v>38614</v>
      </c>
      <c r="HZ191" t="s">
        <v>1295</v>
      </c>
      <c r="IA191">
        <v>100</v>
      </c>
      <c r="IB191" s="10" t="s">
        <v>1</v>
      </c>
      <c r="IC191" s="10">
        <v>15</v>
      </c>
      <c r="ID191" s="10" t="s">
        <v>984</v>
      </c>
      <c r="IE191" s="10" t="s">
        <v>1</v>
      </c>
      <c r="IF191" s="10" t="s">
        <v>1</v>
      </c>
      <c r="IG191" t="s">
        <v>1</v>
      </c>
      <c r="IH191" s="10" t="s">
        <v>1</v>
      </c>
      <c r="II191" s="10" t="s">
        <v>1</v>
      </c>
      <c r="IJ191" s="10" t="s">
        <v>1</v>
      </c>
      <c r="IK191" t="s">
        <v>1</v>
      </c>
      <c r="IL191" s="10" t="s">
        <v>1</v>
      </c>
      <c r="IM191" s="10" t="s">
        <v>1</v>
      </c>
      <c r="IN191" s="10" t="s">
        <v>1</v>
      </c>
      <c r="IO191" s="10" t="s">
        <v>1</v>
      </c>
      <c r="IP191" s="10" t="s">
        <v>1</v>
      </c>
      <c r="IQ191" s="10" t="s">
        <v>1</v>
      </c>
      <c r="IR191" s="10" t="s">
        <v>1</v>
      </c>
      <c r="IS191" t="s">
        <v>1</v>
      </c>
      <c r="IT191" t="s">
        <v>1</v>
      </c>
      <c r="IW191" t="s">
        <v>1</v>
      </c>
      <c r="IX191" t="s">
        <v>1</v>
      </c>
      <c r="IY191" t="s">
        <v>1</v>
      </c>
      <c r="IZ191" t="s">
        <v>1</v>
      </c>
      <c r="JA191" t="s">
        <v>1</v>
      </c>
      <c r="JB191" s="3" t="s">
        <v>1</v>
      </c>
      <c r="JC191" t="s">
        <v>1</v>
      </c>
      <c r="JD191" s="4" t="s">
        <v>1</v>
      </c>
      <c r="JE191" t="s">
        <v>810</v>
      </c>
      <c r="JF191">
        <v>100</v>
      </c>
      <c r="JG191" t="s">
        <v>859</v>
      </c>
      <c r="JH191" t="s">
        <v>1393</v>
      </c>
      <c r="JI191" t="s">
        <v>947</v>
      </c>
      <c r="JJ191" t="s">
        <v>1</v>
      </c>
      <c r="JK191" t="s">
        <v>1052</v>
      </c>
      <c r="JL191" t="s">
        <v>1</v>
      </c>
      <c r="JM191" t="s">
        <v>1</v>
      </c>
      <c r="JN191" t="s">
        <v>1050</v>
      </c>
      <c r="JO191" s="30">
        <v>38614</v>
      </c>
      <c r="JP191" t="s">
        <v>1051</v>
      </c>
      <c r="JQ191" s="32" t="s">
        <v>1058</v>
      </c>
      <c r="JR191" t="s">
        <v>1066</v>
      </c>
      <c r="JS191" t="s">
        <v>1008</v>
      </c>
      <c r="JT191" t="s">
        <v>995</v>
      </c>
      <c r="JU191" t="s">
        <v>1</v>
      </c>
      <c r="JV191" t="s">
        <v>1424</v>
      </c>
      <c r="JW191" t="s">
        <v>842</v>
      </c>
      <c r="JX191">
        <v>0</v>
      </c>
      <c r="JY191">
        <v>80</v>
      </c>
      <c r="JZ191" t="s">
        <v>800</v>
      </c>
      <c r="KA191" t="s">
        <v>206</v>
      </c>
      <c r="KB191" t="s">
        <v>738</v>
      </c>
      <c r="KC191" t="s">
        <v>1</v>
      </c>
      <c r="KD191" t="s">
        <v>1</v>
      </c>
      <c r="KE191" t="s">
        <v>1</v>
      </c>
      <c r="KF191" t="s">
        <v>1</v>
      </c>
      <c r="KG191" t="s">
        <v>1</v>
      </c>
      <c r="KH191" t="s">
        <v>1</v>
      </c>
      <c r="KI191" t="s">
        <v>1</v>
      </c>
      <c r="KJ191" t="s">
        <v>1</v>
      </c>
      <c r="KK191" t="s">
        <v>1</v>
      </c>
    </row>
    <row r="192" spans="1:297" x14ac:dyDescent="0.2">
      <c r="A192" s="3" t="s">
        <v>873</v>
      </c>
      <c r="B192" t="s">
        <v>705</v>
      </c>
      <c r="C192" t="s">
        <v>900</v>
      </c>
      <c r="D192" t="s">
        <v>690</v>
      </c>
      <c r="E192">
        <v>29</v>
      </c>
      <c r="F192" t="s">
        <v>213</v>
      </c>
      <c r="G192" t="s">
        <v>1</v>
      </c>
      <c r="H192" s="26" t="s">
        <v>1420</v>
      </c>
      <c r="I192" t="s">
        <v>1</v>
      </c>
      <c r="J192" t="s">
        <v>1</v>
      </c>
      <c r="K192" t="s">
        <v>1</v>
      </c>
      <c r="L192" t="s">
        <v>1</v>
      </c>
      <c r="M192" t="s">
        <v>1</v>
      </c>
      <c r="N192" t="s">
        <v>1</v>
      </c>
      <c r="O192" t="s">
        <v>1</v>
      </c>
      <c r="P192" t="s">
        <v>1</v>
      </c>
      <c r="Q192" t="s">
        <v>1</v>
      </c>
      <c r="R192" t="s">
        <v>1</v>
      </c>
      <c r="S192" t="s">
        <v>1</v>
      </c>
      <c r="T192" t="s">
        <v>1</v>
      </c>
      <c r="U192" t="s">
        <v>1</v>
      </c>
      <c r="V192" t="s">
        <v>1</v>
      </c>
      <c r="W192" t="s">
        <v>1</v>
      </c>
      <c r="X192" t="s">
        <v>1</v>
      </c>
      <c r="Y192" t="s">
        <v>1</v>
      </c>
      <c r="Z192" t="s">
        <v>1</v>
      </c>
      <c r="AA192" t="s">
        <v>1</v>
      </c>
      <c r="AB192" t="s">
        <v>1</v>
      </c>
      <c r="AC192" t="s">
        <v>1</v>
      </c>
      <c r="AD192" t="s">
        <v>1</v>
      </c>
      <c r="AE192" t="s">
        <v>1</v>
      </c>
      <c r="AF192" t="s">
        <v>1</v>
      </c>
      <c r="AG192" t="s">
        <v>1</v>
      </c>
      <c r="AH192" t="s">
        <v>1</v>
      </c>
      <c r="AI192" t="s">
        <v>1</v>
      </c>
      <c r="AJ192" t="s">
        <v>1</v>
      </c>
      <c r="AK192" t="s">
        <v>1</v>
      </c>
      <c r="AL192" t="s">
        <v>1</v>
      </c>
      <c r="AM192" t="s">
        <v>1</v>
      </c>
      <c r="AN192" s="3" t="s">
        <v>873</v>
      </c>
      <c r="AO192" t="str">
        <f t="shared" si="25"/>
        <v>180-14</v>
      </c>
      <c r="AP192">
        <f t="shared" si="10"/>
        <v>29</v>
      </c>
      <c r="AQ192">
        <f t="shared" si="11"/>
        <v>29</v>
      </c>
      <c r="AR192" t="s">
        <v>1355</v>
      </c>
      <c r="AS192" t="s">
        <v>1356</v>
      </c>
      <c r="AT192" t="s">
        <v>714</v>
      </c>
      <c r="AU192" t="s">
        <v>1</v>
      </c>
      <c r="AV192" t="s">
        <v>1</v>
      </c>
      <c r="AW192">
        <v>58.37</v>
      </c>
      <c r="AX192">
        <v>13.48</v>
      </c>
      <c r="AY192" t="s">
        <v>737</v>
      </c>
      <c r="AZ192">
        <f t="shared" si="19"/>
        <v>5.3999999999999999E-2</v>
      </c>
      <c r="BA192" s="3">
        <f t="shared" si="20"/>
        <v>6</v>
      </c>
      <c r="BB192" s="10" t="s">
        <v>1355</v>
      </c>
      <c r="BC192" t="s">
        <v>1461</v>
      </c>
      <c r="BD192" s="30">
        <v>38575</v>
      </c>
      <c r="BE192" s="3" t="s">
        <v>933</v>
      </c>
      <c r="BF192" s="30">
        <v>38936</v>
      </c>
      <c r="BG192" s="19" t="s">
        <v>934</v>
      </c>
      <c r="BH192" s="19" t="s">
        <v>934</v>
      </c>
      <c r="BI192" s="19" t="s">
        <v>945</v>
      </c>
      <c r="BJ192" s="19" t="s">
        <v>934</v>
      </c>
      <c r="BK192" s="19" t="s">
        <v>945</v>
      </c>
      <c r="BL192" s="19" t="s">
        <v>945</v>
      </c>
      <c r="BM192" s="19" t="s">
        <v>945</v>
      </c>
      <c r="BN192" s="19" t="s">
        <v>934</v>
      </c>
      <c r="BO192" s="19" t="s">
        <v>945</v>
      </c>
      <c r="BP192" s="19" t="s">
        <v>945</v>
      </c>
      <c r="BQ192" s="24" t="s">
        <v>945</v>
      </c>
      <c r="BR192" s="24" t="s">
        <v>945</v>
      </c>
      <c r="BS192" s="24" t="s">
        <v>934</v>
      </c>
      <c r="BT192" s="24" t="s">
        <v>934</v>
      </c>
      <c r="BU192" s="24" t="s">
        <v>934</v>
      </c>
      <c r="BV192" s="24" t="s">
        <v>934</v>
      </c>
      <c r="BW192" s="24" t="s">
        <v>934</v>
      </c>
      <c r="BX192" s="24" t="s">
        <v>934</v>
      </c>
      <c r="BY192" s="25" t="s">
        <v>945</v>
      </c>
      <c r="BZ192" t="s">
        <v>62</v>
      </c>
      <c r="CA192" s="20" t="s">
        <v>949</v>
      </c>
      <c r="CB192" t="s">
        <v>1</v>
      </c>
      <c r="CC192" s="4">
        <v>7480</v>
      </c>
      <c r="CD192" s="4" t="s">
        <v>1</v>
      </c>
      <c r="CE192" s="4" t="s">
        <v>1</v>
      </c>
      <c r="CF192" s="5" t="s">
        <v>793</v>
      </c>
      <c r="CG192">
        <v>100</v>
      </c>
      <c r="CH192" t="s">
        <v>1</v>
      </c>
      <c r="CI192" s="28" t="s">
        <v>1</v>
      </c>
      <c r="CJ192" s="10" t="s">
        <v>1</v>
      </c>
      <c r="CK192" s="9" t="s">
        <v>1</v>
      </c>
      <c r="CL192" s="4" t="s">
        <v>1</v>
      </c>
      <c r="CM192" s="4" t="s">
        <v>1</v>
      </c>
      <c r="CN192" s="4" t="s">
        <v>1</v>
      </c>
      <c r="CO192" s="4" t="s">
        <v>1</v>
      </c>
      <c r="CP192" s="4" t="s">
        <v>1</v>
      </c>
      <c r="CQ192" s="4" t="s">
        <v>1</v>
      </c>
      <c r="CR192" s="4" t="s">
        <v>1</v>
      </c>
      <c r="CS192" s="4" t="s">
        <v>1</v>
      </c>
      <c r="CT192" s="4" t="s">
        <v>1</v>
      </c>
      <c r="CU192" s="4" t="s">
        <v>1</v>
      </c>
      <c r="CV192" t="s">
        <v>855</v>
      </c>
      <c r="CW192">
        <v>100</v>
      </c>
      <c r="CX192">
        <v>0</v>
      </c>
      <c r="CY192">
        <v>30</v>
      </c>
      <c r="CZ192" t="s">
        <v>1358</v>
      </c>
      <c r="DA192" t="s">
        <v>734</v>
      </c>
      <c r="DB192">
        <v>64</v>
      </c>
      <c r="DC192">
        <v>0</v>
      </c>
      <c r="DD192">
        <v>30</v>
      </c>
      <c r="DE192" t="s">
        <v>1358</v>
      </c>
      <c r="DF192" t="s">
        <v>735</v>
      </c>
      <c r="DG192">
        <v>22</v>
      </c>
      <c r="DH192">
        <v>0</v>
      </c>
      <c r="DI192">
        <v>30</v>
      </c>
      <c r="DJ192" t="s">
        <v>1358</v>
      </c>
      <c r="DK192" t="s">
        <v>736</v>
      </c>
      <c r="DL192">
        <v>14</v>
      </c>
      <c r="DM192">
        <v>0</v>
      </c>
      <c r="DN192">
        <v>30</v>
      </c>
      <c r="DO192" t="s">
        <v>1358</v>
      </c>
      <c r="DP192" t="s">
        <v>6</v>
      </c>
      <c r="DQ192" t="s">
        <v>813</v>
      </c>
      <c r="DR192">
        <v>6.4</v>
      </c>
      <c r="DS192">
        <v>0</v>
      </c>
      <c r="DT192">
        <v>30</v>
      </c>
      <c r="DU192" t="s">
        <v>1358</v>
      </c>
      <c r="DV192" t="s">
        <v>980</v>
      </c>
      <c r="DW192">
        <v>28</v>
      </c>
      <c r="DX192">
        <v>0</v>
      </c>
      <c r="DY192">
        <v>30</v>
      </c>
      <c r="DZ192" t="s">
        <v>1358</v>
      </c>
      <c r="EA192" t="s">
        <v>982</v>
      </c>
      <c r="EB192">
        <v>16</v>
      </c>
      <c r="EC192">
        <v>0</v>
      </c>
      <c r="ED192">
        <v>30</v>
      </c>
      <c r="EE192" t="s">
        <v>1358</v>
      </c>
      <c r="EG192" t="s">
        <v>981</v>
      </c>
      <c r="EH192">
        <f t="shared" si="21"/>
        <v>1.4</v>
      </c>
      <c r="EI192">
        <v>0</v>
      </c>
      <c r="EJ192">
        <v>30</v>
      </c>
      <c r="EK192" t="s">
        <v>1358</v>
      </c>
      <c r="EL192" t="s">
        <v>734</v>
      </c>
      <c r="EM192">
        <v>71</v>
      </c>
      <c r="EN192">
        <v>30</v>
      </c>
      <c r="EO192">
        <v>60</v>
      </c>
      <c r="EP192" t="s">
        <v>1358</v>
      </c>
      <c r="EQ192" t="s">
        <v>735</v>
      </c>
      <c r="ER192">
        <v>17</v>
      </c>
      <c r="ES192">
        <v>30</v>
      </c>
      <c r="ET192">
        <v>60</v>
      </c>
      <c r="EU192" t="s">
        <v>1358</v>
      </c>
      <c r="EV192" t="s">
        <v>736</v>
      </c>
      <c r="EW192">
        <v>12</v>
      </c>
      <c r="EX192">
        <v>30</v>
      </c>
      <c r="EY192">
        <v>60</v>
      </c>
      <c r="EZ192" t="s">
        <v>1358</v>
      </c>
      <c r="FA192" t="s">
        <v>980</v>
      </c>
      <c r="FB192">
        <v>25</v>
      </c>
      <c r="FC192">
        <v>30</v>
      </c>
      <c r="FD192">
        <v>60</v>
      </c>
      <c r="FE192" t="s">
        <v>1358</v>
      </c>
      <c r="FF192" t="s">
        <v>734</v>
      </c>
      <c r="FG192">
        <f t="shared" si="22"/>
        <v>67.34</v>
      </c>
      <c r="FH192">
        <v>60</v>
      </c>
      <c r="FI192">
        <v>90</v>
      </c>
      <c r="FJ192" t="s">
        <v>1358</v>
      </c>
      <c r="FK192" t="s">
        <v>735</v>
      </c>
      <c r="FL192">
        <f t="shared" si="23"/>
        <v>20.100000000000001</v>
      </c>
      <c r="FM192">
        <v>60</v>
      </c>
      <c r="FN192">
        <v>90</v>
      </c>
      <c r="FO192" t="s">
        <v>1358</v>
      </c>
      <c r="FP192" t="s">
        <v>736</v>
      </c>
      <c r="FQ192">
        <f t="shared" si="24"/>
        <v>12.56</v>
      </c>
      <c r="FR192">
        <v>60</v>
      </c>
      <c r="FS192">
        <v>90</v>
      </c>
      <c r="FT192" t="s">
        <v>1358</v>
      </c>
      <c r="FU192" t="s">
        <v>980</v>
      </c>
      <c r="FV192">
        <v>25</v>
      </c>
      <c r="FW192">
        <v>60</v>
      </c>
      <c r="FX192">
        <v>90</v>
      </c>
      <c r="FY192" t="s">
        <v>1358</v>
      </c>
      <c r="FZ192" t="s">
        <v>957</v>
      </c>
      <c r="GA192" t="s">
        <v>958</v>
      </c>
      <c r="GB192" t="s">
        <v>959</v>
      </c>
      <c r="GC192" t="s">
        <v>1</v>
      </c>
      <c r="GD192" t="s">
        <v>1</v>
      </c>
      <c r="GE192" s="26" t="s">
        <v>1358</v>
      </c>
      <c r="GF192" t="s">
        <v>957</v>
      </c>
      <c r="GG192" t="s">
        <v>961</v>
      </c>
      <c r="GH192" t="s">
        <v>960</v>
      </c>
      <c r="GI192" s="20">
        <v>1961</v>
      </c>
      <c r="GJ192" s="20">
        <v>1990</v>
      </c>
      <c r="GK192" s="26" t="s">
        <v>1358</v>
      </c>
      <c r="GL192" t="s">
        <v>953</v>
      </c>
      <c r="GM192" t="s">
        <v>955</v>
      </c>
      <c r="GN192" t="s">
        <v>954</v>
      </c>
      <c r="GO192" s="5" t="s">
        <v>956</v>
      </c>
      <c r="GP192" s="5" t="s">
        <v>1382</v>
      </c>
      <c r="GQ192" s="5" t="s">
        <v>962</v>
      </c>
      <c r="GR192" s="5" t="s">
        <v>963</v>
      </c>
      <c r="GS192" s="5" t="s">
        <v>959</v>
      </c>
      <c r="GT192" s="26" t="s">
        <v>1358</v>
      </c>
      <c r="GU192" s="5" t="s">
        <v>962</v>
      </c>
      <c r="GV192" s="5" t="s">
        <v>964</v>
      </c>
      <c r="GW192" s="5" t="s">
        <v>960</v>
      </c>
      <c r="GX192" s="20">
        <v>1961</v>
      </c>
      <c r="GY192" s="20">
        <v>1990</v>
      </c>
      <c r="GZ192" s="26" t="s">
        <v>1358</v>
      </c>
      <c r="HA192" s="5" t="s">
        <v>1</v>
      </c>
      <c r="HB192" s="5" t="s">
        <v>1</v>
      </c>
      <c r="HC192" s="5" t="s">
        <v>1</v>
      </c>
      <c r="HD192" s="5" t="s">
        <v>1</v>
      </c>
      <c r="HE192" t="s">
        <v>1</v>
      </c>
      <c r="HF192" s="5" t="s">
        <v>1</v>
      </c>
      <c r="HG192" s="5" t="s">
        <v>1</v>
      </c>
      <c r="HH192" s="5" t="s">
        <v>1</v>
      </c>
      <c r="HI192" s="5" t="s">
        <v>1</v>
      </c>
      <c r="HJ192" t="s">
        <v>1</v>
      </c>
      <c r="HK192" t="s">
        <v>1</v>
      </c>
      <c r="HL192" t="s">
        <v>1</v>
      </c>
      <c r="HM192" t="s">
        <v>1</v>
      </c>
      <c r="HN192" t="s">
        <v>1</v>
      </c>
      <c r="HO192" t="s">
        <v>1</v>
      </c>
      <c r="HP192" t="s">
        <v>1</v>
      </c>
      <c r="HQ192" t="s">
        <v>983</v>
      </c>
      <c r="HR192" t="s">
        <v>1034</v>
      </c>
      <c r="HS192" s="5" t="s">
        <v>1039</v>
      </c>
      <c r="HT192" s="28" t="s">
        <v>1425</v>
      </c>
      <c r="HU192" s="5" t="s">
        <v>842</v>
      </c>
      <c r="HV192" s="5" t="s">
        <v>1358</v>
      </c>
      <c r="HW192" t="s">
        <v>937</v>
      </c>
      <c r="HX192" s="3" t="s">
        <v>1</v>
      </c>
      <c r="HY192" s="30">
        <v>38614</v>
      </c>
      <c r="HZ192" t="s">
        <v>1295</v>
      </c>
      <c r="IA192">
        <v>100</v>
      </c>
      <c r="IB192" s="10" t="s">
        <v>1</v>
      </c>
      <c r="IC192" s="10">
        <v>15</v>
      </c>
      <c r="ID192" s="10" t="s">
        <v>984</v>
      </c>
      <c r="IE192" s="10" t="s">
        <v>1</v>
      </c>
      <c r="IF192" s="10" t="s">
        <v>1</v>
      </c>
      <c r="IG192" t="s">
        <v>1</v>
      </c>
      <c r="IH192" s="10" t="s">
        <v>1</v>
      </c>
      <c r="II192" s="10" t="s">
        <v>1</v>
      </c>
      <c r="IJ192" s="10" t="s">
        <v>1</v>
      </c>
      <c r="IK192" t="s">
        <v>1</v>
      </c>
      <c r="IL192" s="10" t="s">
        <v>1</v>
      </c>
      <c r="IM192" s="10" t="s">
        <v>1</v>
      </c>
      <c r="IN192" s="10" t="s">
        <v>1</v>
      </c>
      <c r="IO192" s="10" t="s">
        <v>1</v>
      </c>
      <c r="IP192" s="10" t="s">
        <v>1</v>
      </c>
      <c r="IQ192" s="10" t="s">
        <v>1</v>
      </c>
      <c r="IR192" s="10" t="s">
        <v>1</v>
      </c>
      <c r="IS192" t="s">
        <v>1</v>
      </c>
      <c r="IT192" t="s">
        <v>1</v>
      </c>
      <c r="IW192" t="s">
        <v>1</v>
      </c>
      <c r="IX192" t="s">
        <v>1</v>
      </c>
      <c r="IY192" t="s">
        <v>1</v>
      </c>
      <c r="IZ192" t="s">
        <v>1</v>
      </c>
      <c r="JA192" t="s">
        <v>1</v>
      </c>
      <c r="JB192" s="3" t="s">
        <v>1</v>
      </c>
      <c r="JC192" t="s">
        <v>1</v>
      </c>
      <c r="JD192" s="4" t="s">
        <v>1</v>
      </c>
      <c r="JE192" t="s">
        <v>810</v>
      </c>
      <c r="JF192">
        <v>100</v>
      </c>
      <c r="JG192" t="s">
        <v>859</v>
      </c>
      <c r="JH192" t="s">
        <v>1393</v>
      </c>
      <c r="JI192" t="s">
        <v>947</v>
      </c>
      <c r="JJ192" t="s">
        <v>1</v>
      </c>
      <c r="JK192" t="s">
        <v>1052</v>
      </c>
      <c r="JL192" t="s">
        <v>1</v>
      </c>
      <c r="JM192" t="s">
        <v>1</v>
      </c>
      <c r="JN192" t="s">
        <v>1050</v>
      </c>
      <c r="JO192" s="30">
        <v>38614</v>
      </c>
      <c r="JP192" t="s">
        <v>1051</v>
      </c>
      <c r="JQ192" s="32" t="s">
        <v>1058</v>
      </c>
      <c r="JR192" t="s">
        <v>1066</v>
      </c>
      <c r="JS192" t="s">
        <v>1009</v>
      </c>
      <c r="JT192" t="s">
        <v>995</v>
      </c>
      <c r="JU192" t="s">
        <v>1</v>
      </c>
      <c r="JV192" t="s">
        <v>1424</v>
      </c>
      <c r="JW192" t="s">
        <v>842</v>
      </c>
      <c r="JX192">
        <v>0</v>
      </c>
      <c r="JY192">
        <v>80</v>
      </c>
      <c r="JZ192" t="s">
        <v>800</v>
      </c>
      <c r="KA192" t="s">
        <v>206</v>
      </c>
      <c r="KB192" t="s">
        <v>738</v>
      </c>
      <c r="KC192" t="s">
        <v>1</v>
      </c>
      <c r="KD192" t="s">
        <v>1</v>
      </c>
      <c r="KE192" t="s">
        <v>1</v>
      </c>
      <c r="KF192" t="s">
        <v>1</v>
      </c>
      <c r="KG192" t="s">
        <v>1</v>
      </c>
      <c r="KH192" t="s">
        <v>1</v>
      </c>
      <c r="KI192" t="s">
        <v>1</v>
      </c>
      <c r="KJ192" t="s">
        <v>1</v>
      </c>
      <c r="KK192" t="s">
        <v>1</v>
      </c>
    </row>
    <row r="193" spans="1:297" x14ac:dyDescent="0.2">
      <c r="A193" s="3" t="s">
        <v>874</v>
      </c>
      <c r="B193" t="s">
        <v>705</v>
      </c>
      <c r="C193" t="s">
        <v>901</v>
      </c>
      <c r="D193" t="s">
        <v>690</v>
      </c>
      <c r="E193">
        <v>29</v>
      </c>
      <c r="F193" t="s">
        <v>213</v>
      </c>
      <c r="G193" t="s">
        <v>1</v>
      </c>
      <c r="H193" s="26" t="s">
        <v>1420</v>
      </c>
      <c r="I193" t="s">
        <v>1</v>
      </c>
      <c r="J193" t="s">
        <v>1</v>
      </c>
      <c r="K193" t="s">
        <v>1</v>
      </c>
      <c r="L193" t="s">
        <v>1</v>
      </c>
      <c r="M193" t="s">
        <v>1</v>
      </c>
      <c r="N193" t="s">
        <v>1</v>
      </c>
      <c r="O193" t="s">
        <v>1</v>
      </c>
      <c r="P193" t="s">
        <v>1</v>
      </c>
      <c r="Q193" t="s">
        <v>1</v>
      </c>
      <c r="R193" t="s">
        <v>1</v>
      </c>
      <c r="S193" t="s">
        <v>1</v>
      </c>
      <c r="T193" t="s">
        <v>1</v>
      </c>
      <c r="U193" t="s">
        <v>1</v>
      </c>
      <c r="V193" t="s">
        <v>1</v>
      </c>
      <c r="W193" t="s">
        <v>1</v>
      </c>
      <c r="X193" t="s">
        <v>1</v>
      </c>
      <c r="Y193" t="s">
        <v>1</v>
      </c>
      <c r="Z193" t="s">
        <v>1</v>
      </c>
      <c r="AA193" t="s">
        <v>1</v>
      </c>
      <c r="AB193" t="s">
        <v>1</v>
      </c>
      <c r="AC193" t="s">
        <v>1</v>
      </c>
      <c r="AD193" t="s">
        <v>1</v>
      </c>
      <c r="AE193" t="s">
        <v>1</v>
      </c>
      <c r="AF193" t="s">
        <v>1</v>
      </c>
      <c r="AG193" t="s">
        <v>1</v>
      </c>
      <c r="AH193" t="s">
        <v>1</v>
      </c>
      <c r="AI193" t="s">
        <v>1</v>
      </c>
      <c r="AJ193" t="s">
        <v>1</v>
      </c>
      <c r="AK193" t="s">
        <v>1</v>
      </c>
      <c r="AL193" t="s">
        <v>1</v>
      </c>
      <c r="AM193" t="s">
        <v>1</v>
      </c>
      <c r="AN193" s="3" t="s">
        <v>874</v>
      </c>
      <c r="AO193" t="str">
        <f t="shared" si="25"/>
        <v>180-15</v>
      </c>
      <c r="AP193">
        <f t="shared" si="10"/>
        <v>29</v>
      </c>
      <c r="AQ193">
        <f t="shared" si="11"/>
        <v>29</v>
      </c>
      <c r="AR193" t="s">
        <v>1355</v>
      </c>
      <c r="AS193" t="s">
        <v>1356</v>
      </c>
      <c r="AT193" t="s">
        <v>714</v>
      </c>
      <c r="AU193" t="s">
        <v>1</v>
      </c>
      <c r="AV193" t="s">
        <v>1</v>
      </c>
      <c r="AW193">
        <v>58.37</v>
      </c>
      <c r="AX193">
        <v>13.48</v>
      </c>
      <c r="AY193" t="s">
        <v>737</v>
      </c>
      <c r="AZ193">
        <f t="shared" si="19"/>
        <v>5.3999999999999999E-2</v>
      </c>
      <c r="BA193" s="3">
        <f t="shared" si="20"/>
        <v>6</v>
      </c>
      <c r="BB193" s="10" t="s">
        <v>1355</v>
      </c>
      <c r="BC193" t="s">
        <v>1461</v>
      </c>
      <c r="BD193" s="30">
        <v>38575</v>
      </c>
      <c r="BE193" s="3" t="s">
        <v>933</v>
      </c>
      <c r="BF193" s="30">
        <v>38936</v>
      </c>
      <c r="BG193" s="19" t="s">
        <v>934</v>
      </c>
      <c r="BH193" s="19" t="s">
        <v>934</v>
      </c>
      <c r="BI193" s="19" t="s">
        <v>945</v>
      </c>
      <c r="BJ193" s="19" t="s">
        <v>934</v>
      </c>
      <c r="BK193" s="19" t="s">
        <v>945</v>
      </c>
      <c r="BL193" s="19" t="s">
        <v>945</v>
      </c>
      <c r="BM193" s="19" t="s">
        <v>945</v>
      </c>
      <c r="BN193" s="19" t="s">
        <v>934</v>
      </c>
      <c r="BO193" s="19" t="s">
        <v>945</v>
      </c>
      <c r="BP193" s="19" t="s">
        <v>945</v>
      </c>
      <c r="BQ193" s="24" t="s">
        <v>945</v>
      </c>
      <c r="BR193" s="24" t="s">
        <v>945</v>
      </c>
      <c r="BS193" s="24" t="s">
        <v>934</v>
      </c>
      <c r="BT193" s="24" t="s">
        <v>934</v>
      </c>
      <c r="BU193" s="24" t="s">
        <v>934</v>
      </c>
      <c r="BV193" s="24" t="s">
        <v>934</v>
      </c>
      <c r="BW193" s="24" t="s">
        <v>934</v>
      </c>
      <c r="BX193" s="24" t="s">
        <v>934</v>
      </c>
      <c r="BY193" s="25" t="s">
        <v>945</v>
      </c>
      <c r="BZ193" t="s">
        <v>62</v>
      </c>
      <c r="CA193" s="20" t="s">
        <v>949</v>
      </c>
      <c r="CB193" t="s">
        <v>1</v>
      </c>
      <c r="CC193" s="4">
        <v>6950</v>
      </c>
      <c r="CD193" s="4" t="s">
        <v>1</v>
      </c>
      <c r="CE193" s="4" t="s">
        <v>1</v>
      </c>
      <c r="CF193" s="5" t="s">
        <v>793</v>
      </c>
      <c r="CG193">
        <v>100</v>
      </c>
      <c r="CH193" t="s">
        <v>1</v>
      </c>
      <c r="CI193" s="28" t="s">
        <v>1</v>
      </c>
      <c r="CJ193" s="10" t="s">
        <v>1</v>
      </c>
      <c r="CK193" s="9" t="s">
        <v>1</v>
      </c>
      <c r="CL193" s="4" t="s">
        <v>1</v>
      </c>
      <c r="CM193" s="4" t="s">
        <v>1</v>
      </c>
      <c r="CN193" s="4" t="s">
        <v>1</v>
      </c>
      <c r="CO193" s="4" t="s">
        <v>1</v>
      </c>
      <c r="CP193" s="4" t="s">
        <v>1</v>
      </c>
      <c r="CQ193" s="4" t="s">
        <v>1</v>
      </c>
      <c r="CR193" s="4" t="s">
        <v>1</v>
      </c>
      <c r="CS193" s="4" t="s">
        <v>1</v>
      </c>
      <c r="CT193" s="4" t="s">
        <v>1</v>
      </c>
      <c r="CU193" s="4" t="s">
        <v>1</v>
      </c>
      <c r="CV193" t="s">
        <v>855</v>
      </c>
      <c r="CW193">
        <v>100</v>
      </c>
      <c r="CX193">
        <v>0</v>
      </c>
      <c r="CY193">
        <v>30</v>
      </c>
      <c r="CZ193" t="s">
        <v>1358</v>
      </c>
      <c r="DA193" t="s">
        <v>734</v>
      </c>
      <c r="DB193">
        <v>64</v>
      </c>
      <c r="DC193">
        <v>0</v>
      </c>
      <c r="DD193">
        <v>30</v>
      </c>
      <c r="DE193" t="s">
        <v>1358</v>
      </c>
      <c r="DF193" t="s">
        <v>735</v>
      </c>
      <c r="DG193">
        <v>22</v>
      </c>
      <c r="DH193">
        <v>0</v>
      </c>
      <c r="DI193">
        <v>30</v>
      </c>
      <c r="DJ193" t="s">
        <v>1358</v>
      </c>
      <c r="DK193" t="s">
        <v>736</v>
      </c>
      <c r="DL193">
        <v>14</v>
      </c>
      <c r="DM193">
        <v>0</v>
      </c>
      <c r="DN193">
        <v>30</v>
      </c>
      <c r="DO193" t="s">
        <v>1358</v>
      </c>
      <c r="DP193" t="s">
        <v>6</v>
      </c>
      <c r="DQ193" t="s">
        <v>813</v>
      </c>
      <c r="DR193">
        <v>6.4</v>
      </c>
      <c r="DS193">
        <v>0</v>
      </c>
      <c r="DT193">
        <v>30</v>
      </c>
      <c r="DU193" t="s">
        <v>1358</v>
      </c>
      <c r="DV193" t="s">
        <v>980</v>
      </c>
      <c r="DW193">
        <v>28</v>
      </c>
      <c r="DX193">
        <v>0</v>
      </c>
      <c r="DY193">
        <v>30</v>
      </c>
      <c r="DZ193" t="s">
        <v>1358</v>
      </c>
      <c r="EA193" t="s">
        <v>982</v>
      </c>
      <c r="EB193">
        <v>16</v>
      </c>
      <c r="EC193">
        <v>0</v>
      </c>
      <c r="ED193">
        <v>30</v>
      </c>
      <c r="EE193" t="s">
        <v>1358</v>
      </c>
      <c r="EG193" t="s">
        <v>981</v>
      </c>
      <c r="EH193">
        <f t="shared" si="21"/>
        <v>1.4</v>
      </c>
      <c r="EI193">
        <v>0</v>
      </c>
      <c r="EJ193">
        <v>30</v>
      </c>
      <c r="EK193" t="s">
        <v>1358</v>
      </c>
      <c r="EL193" t="s">
        <v>734</v>
      </c>
      <c r="EM193">
        <v>71</v>
      </c>
      <c r="EN193">
        <v>30</v>
      </c>
      <c r="EO193">
        <v>60</v>
      </c>
      <c r="EP193" t="s">
        <v>1358</v>
      </c>
      <c r="EQ193" t="s">
        <v>735</v>
      </c>
      <c r="ER193">
        <v>17</v>
      </c>
      <c r="ES193">
        <v>30</v>
      </c>
      <c r="ET193">
        <v>60</v>
      </c>
      <c r="EU193" t="s">
        <v>1358</v>
      </c>
      <c r="EV193" t="s">
        <v>736</v>
      </c>
      <c r="EW193">
        <v>12</v>
      </c>
      <c r="EX193">
        <v>30</v>
      </c>
      <c r="EY193">
        <v>60</v>
      </c>
      <c r="EZ193" t="s">
        <v>1358</v>
      </c>
      <c r="FA193" t="s">
        <v>980</v>
      </c>
      <c r="FB193">
        <v>25</v>
      </c>
      <c r="FC193">
        <v>30</v>
      </c>
      <c r="FD193">
        <v>60</v>
      </c>
      <c r="FE193" t="s">
        <v>1358</v>
      </c>
      <c r="FF193" t="s">
        <v>734</v>
      </c>
      <c r="FG193">
        <f t="shared" si="22"/>
        <v>67.34</v>
      </c>
      <c r="FH193">
        <v>60</v>
      </c>
      <c r="FI193">
        <v>90</v>
      </c>
      <c r="FJ193" t="s">
        <v>1358</v>
      </c>
      <c r="FK193" t="s">
        <v>735</v>
      </c>
      <c r="FL193">
        <f t="shared" si="23"/>
        <v>20.100000000000001</v>
      </c>
      <c r="FM193">
        <v>60</v>
      </c>
      <c r="FN193">
        <v>90</v>
      </c>
      <c r="FO193" t="s">
        <v>1358</v>
      </c>
      <c r="FP193" t="s">
        <v>736</v>
      </c>
      <c r="FQ193">
        <f t="shared" si="24"/>
        <v>12.56</v>
      </c>
      <c r="FR193">
        <v>60</v>
      </c>
      <c r="FS193">
        <v>90</v>
      </c>
      <c r="FT193" t="s">
        <v>1358</v>
      </c>
      <c r="FU193" t="s">
        <v>980</v>
      </c>
      <c r="FV193">
        <v>25</v>
      </c>
      <c r="FW193">
        <v>60</v>
      </c>
      <c r="FX193">
        <v>90</v>
      </c>
      <c r="FY193" t="s">
        <v>1358</v>
      </c>
      <c r="FZ193" t="s">
        <v>957</v>
      </c>
      <c r="GA193" t="s">
        <v>958</v>
      </c>
      <c r="GB193" t="s">
        <v>959</v>
      </c>
      <c r="GC193" t="s">
        <v>1</v>
      </c>
      <c r="GD193" t="s">
        <v>1</v>
      </c>
      <c r="GE193" s="26" t="s">
        <v>1358</v>
      </c>
      <c r="GF193" t="s">
        <v>957</v>
      </c>
      <c r="GG193" t="s">
        <v>961</v>
      </c>
      <c r="GH193" t="s">
        <v>960</v>
      </c>
      <c r="GI193" s="20">
        <v>1961</v>
      </c>
      <c r="GJ193" s="20">
        <v>1990</v>
      </c>
      <c r="GK193" s="26" t="s">
        <v>1358</v>
      </c>
      <c r="GL193" t="s">
        <v>953</v>
      </c>
      <c r="GM193" t="s">
        <v>955</v>
      </c>
      <c r="GN193" t="s">
        <v>954</v>
      </c>
      <c r="GO193" s="5" t="s">
        <v>956</v>
      </c>
      <c r="GP193" s="5" t="s">
        <v>1382</v>
      </c>
      <c r="GQ193" s="5" t="s">
        <v>962</v>
      </c>
      <c r="GR193" s="5" t="s">
        <v>963</v>
      </c>
      <c r="GS193" s="5" t="s">
        <v>959</v>
      </c>
      <c r="GT193" s="26" t="s">
        <v>1358</v>
      </c>
      <c r="GU193" s="5" t="s">
        <v>962</v>
      </c>
      <c r="GV193" s="5" t="s">
        <v>964</v>
      </c>
      <c r="GW193" s="5" t="s">
        <v>960</v>
      </c>
      <c r="GX193" s="20">
        <v>1961</v>
      </c>
      <c r="GY193" s="20">
        <v>1990</v>
      </c>
      <c r="GZ193" s="26" t="s">
        <v>1358</v>
      </c>
      <c r="HA193" s="5" t="s">
        <v>1</v>
      </c>
      <c r="HB193" s="5" t="s">
        <v>1</v>
      </c>
      <c r="HC193" s="5" t="s">
        <v>1</v>
      </c>
      <c r="HD193" s="5" t="s">
        <v>1</v>
      </c>
      <c r="HE193" t="s">
        <v>1</v>
      </c>
      <c r="HF193" s="5" t="s">
        <v>1</v>
      </c>
      <c r="HG193" s="5" t="s">
        <v>1</v>
      </c>
      <c r="HH193" s="5" t="s">
        <v>1</v>
      </c>
      <c r="HI193" s="5" t="s">
        <v>1</v>
      </c>
      <c r="HJ193" t="s">
        <v>1</v>
      </c>
      <c r="HK193" t="s">
        <v>1</v>
      </c>
      <c r="HL193" t="s">
        <v>1</v>
      </c>
      <c r="HM193" t="s">
        <v>1</v>
      </c>
      <c r="HN193" t="s">
        <v>1</v>
      </c>
      <c r="HO193" t="s">
        <v>1</v>
      </c>
      <c r="HP193" t="s">
        <v>1</v>
      </c>
      <c r="HQ193" t="s">
        <v>983</v>
      </c>
      <c r="HR193" t="s">
        <v>1035</v>
      </c>
      <c r="HS193" s="5" t="s">
        <v>1039</v>
      </c>
      <c r="HT193" s="28" t="s">
        <v>1425</v>
      </c>
      <c r="HU193" s="5" t="s">
        <v>842</v>
      </c>
      <c r="HV193" s="5" t="s">
        <v>1358</v>
      </c>
      <c r="HW193" t="s">
        <v>937</v>
      </c>
      <c r="HX193" s="3" t="s">
        <v>1</v>
      </c>
      <c r="HY193" s="30">
        <v>38614</v>
      </c>
      <c r="HZ193" t="s">
        <v>1295</v>
      </c>
      <c r="IA193">
        <v>100</v>
      </c>
      <c r="IB193" s="10" t="s">
        <v>1</v>
      </c>
      <c r="IC193" s="10">
        <v>15</v>
      </c>
      <c r="ID193" s="10" t="s">
        <v>984</v>
      </c>
      <c r="IE193" s="10" t="s">
        <v>1</v>
      </c>
      <c r="IF193" s="10" t="s">
        <v>1</v>
      </c>
      <c r="IG193" t="s">
        <v>1</v>
      </c>
      <c r="IH193" s="10" t="s">
        <v>1</v>
      </c>
      <c r="II193" s="10" t="s">
        <v>1</v>
      </c>
      <c r="IJ193" s="10" t="s">
        <v>1</v>
      </c>
      <c r="IK193" t="s">
        <v>1</v>
      </c>
      <c r="IL193" s="10" t="s">
        <v>1</v>
      </c>
      <c r="IM193" s="10" t="s">
        <v>1</v>
      </c>
      <c r="IN193" s="10" t="s">
        <v>1</v>
      </c>
      <c r="IO193" s="10" t="s">
        <v>1</v>
      </c>
      <c r="IP193" s="10" t="s">
        <v>1</v>
      </c>
      <c r="IQ193" s="10" t="s">
        <v>1</v>
      </c>
      <c r="IR193" s="10" t="s">
        <v>1</v>
      </c>
      <c r="IS193" t="s">
        <v>1</v>
      </c>
      <c r="IT193" t="s">
        <v>1</v>
      </c>
      <c r="IW193" t="s">
        <v>1</v>
      </c>
      <c r="IX193" t="s">
        <v>1</v>
      </c>
      <c r="IY193" t="s">
        <v>1</v>
      </c>
      <c r="IZ193" t="s">
        <v>1</v>
      </c>
      <c r="JA193" t="s">
        <v>1</v>
      </c>
      <c r="JB193" s="3" t="s">
        <v>1</v>
      </c>
      <c r="JC193" t="s">
        <v>1</v>
      </c>
      <c r="JD193" s="4" t="s">
        <v>1</v>
      </c>
      <c r="JE193" t="s">
        <v>810</v>
      </c>
      <c r="JF193">
        <v>100</v>
      </c>
      <c r="JG193" t="s">
        <v>859</v>
      </c>
      <c r="JH193" t="s">
        <v>1393</v>
      </c>
      <c r="JI193" t="s">
        <v>947</v>
      </c>
      <c r="JJ193" t="s">
        <v>1</v>
      </c>
      <c r="JK193" t="s">
        <v>1052</v>
      </c>
      <c r="JL193" t="s">
        <v>1</v>
      </c>
      <c r="JM193" t="s">
        <v>1</v>
      </c>
      <c r="JN193" t="s">
        <v>1050</v>
      </c>
      <c r="JO193" s="30">
        <v>38614</v>
      </c>
      <c r="JP193" t="s">
        <v>1051</v>
      </c>
      <c r="JQ193" s="32" t="s">
        <v>1058</v>
      </c>
      <c r="JR193" t="s">
        <v>1066</v>
      </c>
      <c r="JS193" t="s">
        <v>1010</v>
      </c>
      <c r="JT193" t="s">
        <v>995</v>
      </c>
      <c r="JU193" t="s">
        <v>1</v>
      </c>
      <c r="JV193" t="s">
        <v>1424</v>
      </c>
      <c r="JW193" t="s">
        <v>842</v>
      </c>
      <c r="JX193">
        <v>0</v>
      </c>
      <c r="JY193">
        <v>80</v>
      </c>
      <c r="JZ193" t="s">
        <v>800</v>
      </c>
      <c r="KA193" t="s">
        <v>206</v>
      </c>
      <c r="KB193" t="s">
        <v>738</v>
      </c>
      <c r="KC193" t="s">
        <v>1</v>
      </c>
      <c r="KD193" t="s">
        <v>1</v>
      </c>
      <c r="KE193" t="s">
        <v>1</v>
      </c>
      <c r="KF193" t="s">
        <v>1</v>
      </c>
      <c r="KG193" t="s">
        <v>1</v>
      </c>
      <c r="KH193" t="s">
        <v>1</v>
      </c>
      <c r="KI193" t="s">
        <v>1</v>
      </c>
      <c r="KJ193" t="s">
        <v>1</v>
      </c>
      <c r="KK193" t="s">
        <v>1</v>
      </c>
    </row>
    <row r="194" spans="1:297" x14ac:dyDescent="0.2">
      <c r="A194" s="3" t="s">
        <v>875</v>
      </c>
      <c r="B194" t="s">
        <v>705</v>
      </c>
      <c r="C194" t="s">
        <v>902</v>
      </c>
      <c r="D194" t="s">
        <v>690</v>
      </c>
      <c r="E194">
        <v>29</v>
      </c>
      <c r="F194" t="s">
        <v>213</v>
      </c>
      <c r="G194" t="s">
        <v>1</v>
      </c>
      <c r="H194" s="26" t="s">
        <v>1420</v>
      </c>
      <c r="I194" t="s">
        <v>1</v>
      </c>
      <c r="J194" t="s">
        <v>1</v>
      </c>
      <c r="K194" t="s">
        <v>1</v>
      </c>
      <c r="L194" t="s">
        <v>1</v>
      </c>
      <c r="M194" t="s">
        <v>1</v>
      </c>
      <c r="N194" t="s">
        <v>1</v>
      </c>
      <c r="O194" t="s">
        <v>1</v>
      </c>
      <c r="P194" t="s">
        <v>1</v>
      </c>
      <c r="Q194" t="s">
        <v>1</v>
      </c>
      <c r="R194" t="s">
        <v>1</v>
      </c>
      <c r="S194" t="s">
        <v>1</v>
      </c>
      <c r="T194" t="s">
        <v>1</v>
      </c>
      <c r="U194" t="s">
        <v>1</v>
      </c>
      <c r="V194" t="s">
        <v>1</v>
      </c>
      <c r="W194" t="s">
        <v>1</v>
      </c>
      <c r="X194" t="s">
        <v>1</v>
      </c>
      <c r="Y194" t="s">
        <v>1</v>
      </c>
      <c r="Z194" t="s">
        <v>1</v>
      </c>
      <c r="AA194" t="s">
        <v>1</v>
      </c>
      <c r="AB194" t="s">
        <v>1</v>
      </c>
      <c r="AC194" t="s">
        <v>1</v>
      </c>
      <c r="AD194" t="s">
        <v>1</v>
      </c>
      <c r="AE194" t="s">
        <v>1</v>
      </c>
      <c r="AF194" t="s">
        <v>1</v>
      </c>
      <c r="AG194" t="s">
        <v>1</v>
      </c>
      <c r="AH194" t="s">
        <v>1</v>
      </c>
      <c r="AI194" t="s">
        <v>1</v>
      </c>
      <c r="AJ194" t="s">
        <v>1</v>
      </c>
      <c r="AK194" t="s">
        <v>1</v>
      </c>
      <c r="AL194" t="s">
        <v>1</v>
      </c>
      <c r="AM194" t="s">
        <v>1</v>
      </c>
      <c r="AN194" s="3" t="s">
        <v>875</v>
      </c>
      <c r="AO194" t="str">
        <f t="shared" si="25"/>
        <v>180-16</v>
      </c>
      <c r="AP194">
        <f t="shared" ref="AP194:AP257" si="26">E194</f>
        <v>29</v>
      </c>
      <c r="AQ194">
        <f t="shared" ref="AQ194:AQ257" si="27">E194</f>
        <v>29</v>
      </c>
      <c r="AR194" t="s">
        <v>1355</v>
      </c>
      <c r="AS194" t="s">
        <v>1356</v>
      </c>
      <c r="AT194" t="s">
        <v>714</v>
      </c>
      <c r="AU194" t="s">
        <v>1</v>
      </c>
      <c r="AV194" t="s">
        <v>1</v>
      </c>
      <c r="AW194">
        <v>58.37</v>
      </c>
      <c r="AX194">
        <v>13.48</v>
      </c>
      <c r="AY194" t="s">
        <v>737</v>
      </c>
      <c r="AZ194">
        <f t="shared" si="19"/>
        <v>5.3999999999999999E-2</v>
      </c>
      <c r="BA194" s="3">
        <f t="shared" si="20"/>
        <v>6</v>
      </c>
      <c r="BB194" s="10" t="s">
        <v>1355</v>
      </c>
      <c r="BC194" t="s">
        <v>1461</v>
      </c>
      <c r="BD194" s="30">
        <v>38575</v>
      </c>
      <c r="BE194" s="3" t="s">
        <v>933</v>
      </c>
      <c r="BF194" s="30">
        <v>38936</v>
      </c>
      <c r="BG194" s="19" t="s">
        <v>934</v>
      </c>
      <c r="BH194" s="19" t="s">
        <v>934</v>
      </c>
      <c r="BI194" s="19" t="s">
        <v>945</v>
      </c>
      <c r="BJ194" s="19" t="s">
        <v>934</v>
      </c>
      <c r="BK194" s="19" t="s">
        <v>945</v>
      </c>
      <c r="BL194" s="19" t="s">
        <v>945</v>
      </c>
      <c r="BM194" s="19" t="s">
        <v>945</v>
      </c>
      <c r="BN194" s="19" t="s">
        <v>934</v>
      </c>
      <c r="BO194" s="19" t="s">
        <v>945</v>
      </c>
      <c r="BP194" s="19" t="s">
        <v>945</v>
      </c>
      <c r="BQ194" s="24" t="s">
        <v>945</v>
      </c>
      <c r="BR194" s="24" t="s">
        <v>945</v>
      </c>
      <c r="BS194" s="24" t="s">
        <v>934</v>
      </c>
      <c r="BT194" s="24" t="s">
        <v>934</v>
      </c>
      <c r="BU194" s="24" t="s">
        <v>934</v>
      </c>
      <c r="BV194" s="24" t="s">
        <v>934</v>
      </c>
      <c r="BW194" s="24" t="s">
        <v>934</v>
      </c>
      <c r="BX194" s="24" t="s">
        <v>934</v>
      </c>
      <c r="BY194" s="25" t="s">
        <v>945</v>
      </c>
      <c r="BZ194" t="s">
        <v>62</v>
      </c>
      <c r="CA194" s="20" t="s">
        <v>949</v>
      </c>
      <c r="CB194" t="s">
        <v>1</v>
      </c>
      <c r="CC194" s="4">
        <v>7290</v>
      </c>
      <c r="CD194" s="4" t="s">
        <v>1</v>
      </c>
      <c r="CE194" s="4" t="s">
        <v>1</v>
      </c>
      <c r="CF194" s="5" t="s">
        <v>793</v>
      </c>
      <c r="CG194">
        <v>100</v>
      </c>
      <c r="CH194" t="s">
        <v>1</v>
      </c>
      <c r="CI194" s="28" t="s">
        <v>1</v>
      </c>
      <c r="CJ194" s="10" t="s">
        <v>1</v>
      </c>
      <c r="CK194" s="9" t="s">
        <v>1</v>
      </c>
      <c r="CL194" s="4" t="s">
        <v>1</v>
      </c>
      <c r="CM194" s="4" t="s">
        <v>1</v>
      </c>
      <c r="CN194" s="4" t="s">
        <v>1</v>
      </c>
      <c r="CO194" s="4" t="s">
        <v>1</v>
      </c>
      <c r="CP194" s="4" t="s">
        <v>1</v>
      </c>
      <c r="CQ194" s="4" t="s">
        <v>1</v>
      </c>
      <c r="CR194" s="4" t="s">
        <v>1</v>
      </c>
      <c r="CS194" s="4" t="s">
        <v>1</v>
      </c>
      <c r="CT194" s="4" t="s">
        <v>1</v>
      </c>
      <c r="CU194" s="4" t="s">
        <v>1</v>
      </c>
      <c r="CV194" t="s">
        <v>855</v>
      </c>
      <c r="CW194">
        <v>100</v>
      </c>
      <c r="CX194">
        <v>0</v>
      </c>
      <c r="CY194">
        <v>30</v>
      </c>
      <c r="CZ194" t="s">
        <v>1358</v>
      </c>
      <c r="DA194" t="s">
        <v>734</v>
      </c>
      <c r="DB194">
        <v>64</v>
      </c>
      <c r="DC194">
        <v>0</v>
      </c>
      <c r="DD194">
        <v>30</v>
      </c>
      <c r="DE194" t="s">
        <v>1358</v>
      </c>
      <c r="DF194" t="s">
        <v>735</v>
      </c>
      <c r="DG194">
        <v>22</v>
      </c>
      <c r="DH194">
        <v>0</v>
      </c>
      <c r="DI194">
        <v>30</v>
      </c>
      <c r="DJ194" t="s">
        <v>1358</v>
      </c>
      <c r="DK194" t="s">
        <v>736</v>
      </c>
      <c r="DL194">
        <v>14</v>
      </c>
      <c r="DM194">
        <v>0</v>
      </c>
      <c r="DN194">
        <v>30</v>
      </c>
      <c r="DO194" t="s">
        <v>1358</v>
      </c>
      <c r="DP194" t="s">
        <v>6</v>
      </c>
      <c r="DQ194" t="s">
        <v>813</v>
      </c>
      <c r="DR194">
        <v>6.4</v>
      </c>
      <c r="DS194">
        <v>0</v>
      </c>
      <c r="DT194">
        <v>30</v>
      </c>
      <c r="DU194" t="s">
        <v>1358</v>
      </c>
      <c r="DV194" t="s">
        <v>980</v>
      </c>
      <c r="DW194">
        <v>28</v>
      </c>
      <c r="DX194">
        <v>0</v>
      </c>
      <c r="DY194">
        <v>30</v>
      </c>
      <c r="DZ194" t="s">
        <v>1358</v>
      </c>
      <c r="EA194" t="s">
        <v>982</v>
      </c>
      <c r="EB194">
        <v>16</v>
      </c>
      <c r="EC194">
        <v>0</v>
      </c>
      <c r="ED194">
        <v>30</v>
      </c>
      <c r="EE194" t="s">
        <v>1358</v>
      </c>
      <c r="EG194" t="s">
        <v>981</v>
      </c>
      <c r="EH194">
        <f t="shared" si="21"/>
        <v>1.4</v>
      </c>
      <c r="EI194">
        <v>0</v>
      </c>
      <c r="EJ194">
        <v>30</v>
      </c>
      <c r="EK194" t="s">
        <v>1358</v>
      </c>
      <c r="EL194" t="s">
        <v>734</v>
      </c>
      <c r="EM194">
        <v>71</v>
      </c>
      <c r="EN194">
        <v>30</v>
      </c>
      <c r="EO194">
        <v>60</v>
      </c>
      <c r="EP194" t="s">
        <v>1358</v>
      </c>
      <c r="EQ194" t="s">
        <v>735</v>
      </c>
      <c r="ER194">
        <v>17</v>
      </c>
      <c r="ES194">
        <v>30</v>
      </c>
      <c r="ET194">
        <v>60</v>
      </c>
      <c r="EU194" t="s">
        <v>1358</v>
      </c>
      <c r="EV194" t="s">
        <v>736</v>
      </c>
      <c r="EW194">
        <v>12</v>
      </c>
      <c r="EX194">
        <v>30</v>
      </c>
      <c r="EY194">
        <v>60</v>
      </c>
      <c r="EZ194" t="s">
        <v>1358</v>
      </c>
      <c r="FA194" t="s">
        <v>980</v>
      </c>
      <c r="FB194">
        <v>25</v>
      </c>
      <c r="FC194">
        <v>30</v>
      </c>
      <c r="FD194">
        <v>60</v>
      </c>
      <c r="FE194" t="s">
        <v>1358</v>
      </c>
      <c r="FF194" t="s">
        <v>734</v>
      </c>
      <c r="FG194">
        <f t="shared" si="22"/>
        <v>67.34</v>
      </c>
      <c r="FH194">
        <v>60</v>
      </c>
      <c r="FI194">
        <v>90</v>
      </c>
      <c r="FJ194" t="s">
        <v>1358</v>
      </c>
      <c r="FK194" t="s">
        <v>735</v>
      </c>
      <c r="FL194">
        <f t="shared" si="23"/>
        <v>20.100000000000001</v>
      </c>
      <c r="FM194">
        <v>60</v>
      </c>
      <c r="FN194">
        <v>90</v>
      </c>
      <c r="FO194" t="s">
        <v>1358</v>
      </c>
      <c r="FP194" t="s">
        <v>736</v>
      </c>
      <c r="FQ194">
        <f t="shared" si="24"/>
        <v>12.56</v>
      </c>
      <c r="FR194">
        <v>60</v>
      </c>
      <c r="FS194">
        <v>90</v>
      </c>
      <c r="FT194" t="s">
        <v>1358</v>
      </c>
      <c r="FU194" t="s">
        <v>980</v>
      </c>
      <c r="FV194">
        <v>25</v>
      </c>
      <c r="FW194">
        <v>60</v>
      </c>
      <c r="FX194">
        <v>90</v>
      </c>
      <c r="FY194" t="s">
        <v>1358</v>
      </c>
      <c r="FZ194" t="s">
        <v>957</v>
      </c>
      <c r="GA194" t="s">
        <v>958</v>
      </c>
      <c r="GB194" t="s">
        <v>959</v>
      </c>
      <c r="GC194" t="s">
        <v>1</v>
      </c>
      <c r="GD194" t="s">
        <v>1</v>
      </c>
      <c r="GE194" s="26" t="s">
        <v>1358</v>
      </c>
      <c r="GF194" t="s">
        <v>957</v>
      </c>
      <c r="GG194" t="s">
        <v>961</v>
      </c>
      <c r="GH194" t="s">
        <v>960</v>
      </c>
      <c r="GI194" s="20">
        <v>1961</v>
      </c>
      <c r="GJ194" s="20">
        <v>1990</v>
      </c>
      <c r="GK194" s="26" t="s">
        <v>1358</v>
      </c>
      <c r="GL194" t="s">
        <v>953</v>
      </c>
      <c r="GM194" t="s">
        <v>955</v>
      </c>
      <c r="GN194" t="s">
        <v>954</v>
      </c>
      <c r="GO194" s="5" t="s">
        <v>956</v>
      </c>
      <c r="GP194" s="5" t="s">
        <v>1382</v>
      </c>
      <c r="GQ194" s="5" t="s">
        <v>962</v>
      </c>
      <c r="GR194" s="5" t="s">
        <v>963</v>
      </c>
      <c r="GS194" s="5" t="s">
        <v>959</v>
      </c>
      <c r="GT194" s="26" t="s">
        <v>1358</v>
      </c>
      <c r="GU194" s="5" t="s">
        <v>962</v>
      </c>
      <c r="GV194" s="5" t="s">
        <v>964</v>
      </c>
      <c r="GW194" s="5" t="s">
        <v>960</v>
      </c>
      <c r="GX194" s="20">
        <v>1961</v>
      </c>
      <c r="GY194" s="20">
        <v>1990</v>
      </c>
      <c r="GZ194" s="26" t="s">
        <v>1358</v>
      </c>
      <c r="HA194" s="5" t="s">
        <v>1</v>
      </c>
      <c r="HB194" s="5" t="s">
        <v>1</v>
      </c>
      <c r="HC194" s="5" t="s">
        <v>1</v>
      </c>
      <c r="HD194" s="5" t="s">
        <v>1</v>
      </c>
      <c r="HE194" t="s">
        <v>1</v>
      </c>
      <c r="HF194" s="5" t="s">
        <v>1</v>
      </c>
      <c r="HG194" s="5" t="s">
        <v>1</v>
      </c>
      <c r="HH194" s="5" t="s">
        <v>1</v>
      </c>
      <c r="HI194" s="5" t="s">
        <v>1</v>
      </c>
      <c r="HJ194" t="s">
        <v>1</v>
      </c>
      <c r="HK194" t="s">
        <v>1</v>
      </c>
      <c r="HL194" t="s">
        <v>1</v>
      </c>
      <c r="HM194" t="s">
        <v>1</v>
      </c>
      <c r="HN194" t="s">
        <v>1</v>
      </c>
      <c r="HO194" t="s">
        <v>1</v>
      </c>
      <c r="HP194" t="s">
        <v>1</v>
      </c>
      <c r="HQ194" t="s">
        <v>983</v>
      </c>
      <c r="HR194" t="s">
        <v>1036</v>
      </c>
      <c r="HS194" s="5" t="s">
        <v>1039</v>
      </c>
      <c r="HT194" s="28" t="s">
        <v>1425</v>
      </c>
      <c r="HU194" s="5" t="s">
        <v>842</v>
      </c>
      <c r="HV194" s="5" t="s">
        <v>1358</v>
      </c>
      <c r="HW194" t="s">
        <v>937</v>
      </c>
      <c r="HX194" s="3" t="s">
        <v>1</v>
      </c>
      <c r="HY194" s="30">
        <v>38614</v>
      </c>
      <c r="HZ194" t="s">
        <v>1295</v>
      </c>
      <c r="IA194">
        <v>100</v>
      </c>
      <c r="IB194" s="10" t="s">
        <v>1</v>
      </c>
      <c r="IC194" s="10">
        <v>15</v>
      </c>
      <c r="ID194" s="10" t="s">
        <v>984</v>
      </c>
      <c r="IE194" s="10" t="s">
        <v>1</v>
      </c>
      <c r="IF194" s="10" t="s">
        <v>1</v>
      </c>
      <c r="IG194" t="s">
        <v>1</v>
      </c>
      <c r="IH194" s="10" t="s">
        <v>1</v>
      </c>
      <c r="II194" s="10" t="s">
        <v>1</v>
      </c>
      <c r="IJ194" s="10" t="s">
        <v>1</v>
      </c>
      <c r="IK194" t="s">
        <v>1</v>
      </c>
      <c r="IL194" s="10" t="s">
        <v>1</v>
      </c>
      <c r="IM194" s="10" t="s">
        <v>1</v>
      </c>
      <c r="IN194" s="10" t="s">
        <v>1</v>
      </c>
      <c r="IO194" s="10" t="s">
        <v>1</v>
      </c>
      <c r="IP194" s="10" t="s">
        <v>1</v>
      </c>
      <c r="IQ194" s="10" t="s">
        <v>1</v>
      </c>
      <c r="IR194" s="10" t="s">
        <v>1</v>
      </c>
      <c r="IS194" t="s">
        <v>1</v>
      </c>
      <c r="IT194" t="s">
        <v>1</v>
      </c>
      <c r="IW194" t="s">
        <v>1</v>
      </c>
      <c r="IX194" t="s">
        <v>1</v>
      </c>
      <c r="IY194" t="s">
        <v>1</v>
      </c>
      <c r="IZ194" t="s">
        <v>1</v>
      </c>
      <c r="JA194" t="s">
        <v>1</v>
      </c>
      <c r="JB194" s="3" t="s">
        <v>1</v>
      </c>
      <c r="JC194" t="s">
        <v>1</v>
      </c>
      <c r="JD194" s="4" t="s">
        <v>1</v>
      </c>
      <c r="JE194" t="s">
        <v>810</v>
      </c>
      <c r="JF194">
        <v>100</v>
      </c>
      <c r="JG194" t="s">
        <v>859</v>
      </c>
      <c r="JH194" t="s">
        <v>1393</v>
      </c>
      <c r="JI194" t="s">
        <v>947</v>
      </c>
      <c r="JJ194" t="s">
        <v>1</v>
      </c>
      <c r="JK194" t="s">
        <v>1052</v>
      </c>
      <c r="JL194" t="s">
        <v>1</v>
      </c>
      <c r="JM194" t="s">
        <v>1</v>
      </c>
      <c r="JN194" t="s">
        <v>1050</v>
      </c>
      <c r="JO194" s="30">
        <v>38614</v>
      </c>
      <c r="JP194" t="s">
        <v>1051</v>
      </c>
      <c r="JQ194" s="32" t="s">
        <v>1058</v>
      </c>
      <c r="JR194" t="s">
        <v>1066</v>
      </c>
      <c r="JS194" t="s">
        <v>1011</v>
      </c>
      <c r="JT194" t="s">
        <v>995</v>
      </c>
      <c r="JU194" t="s">
        <v>1</v>
      </c>
      <c r="JV194" t="s">
        <v>1424</v>
      </c>
      <c r="JW194" t="s">
        <v>842</v>
      </c>
      <c r="JX194">
        <v>0</v>
      </c>
      <c r="JY194">
        <v>80</v>
      </c>
      <c r="JZ194" t="s">
        <v>800</v>
      </c>
      <c r="KA194" t="s">
        <v>206</v>
      </c>
      <c r="KB194" t="s">
        <v>738</v>
      </c>
      <c r="KC194" t="s">
        <v>1</v>
      </c>
      <c r="KD194" t="s">
        <v>1</v>
      </c>
      <c r="KE194" t="s">
        <v>1</v>
      </c>
      <c r="KF194" t="s">
        <v>1</v>
      </c>
      <c r="KG194" t="s">
        <v>1</v>
      </c>
      <c r="KH194" t="s">
        <v>1</v>
      </c>
      <c r="KI194" t="s">
        <v>1</v>
      </c>
      <c r="KJ194" t="s">
        <v>1</v>
      </c>
      <c r="KK194" t="s">
        <v>1</v>
      </c>
    </row>
    <row r="195" spans="1:297" x14ac:dyDescent="0.2">
      <c r="A195" s="3" t="s">
        <v>876</v>
      </c>
      <c r="B195" t="s">
        <v>705</v>
      </c>
      <c r="C195" t="s">
        <v>903</v>
      </c>
      <c r="D195" t="s">
        <v>690</v>
      </c>
      <c r="E195">
        <v>29</v>
      </c>
      <c r="F195" t="s">
        <v>213</v>
      </c>
      <c r="G195" t="s">
        <v>1</v>
      </c>
      <c r="H195" s="26" t="s">
        <v>1420</v>
      </c>
      <c r="I195" t="s">
        <v>1</v>
      </c>
      <c r="J195" t="s">
        <v>1</v>
      </c>
      <c r="K195" t="s">
        <v>1</v>
      </c>
      <c r="L195" t="s">
        <v>1</v>
      </c>
      <c r="M195" t="s">
        <v>1</v>
      </c>
      <c r="N195" t="s">
        <v>1</v>
      </c>
      <c r="O195" t="s">
        <v>1</v>
      </c>
      <c r="P195" t="s">
        <v>1</v>
      </c>
      <c r="Q195" t="s">
        <v>1</v>
      </c>
      <c r="R195" t="s">
        <v>1</v>
      </c>
      <c r="S195" t="s">
        <v>1</v>
      </c>
      <c r="T195" t="s">
        <v>1</v>
      </c>
      <c r="U195" t="s">
        <v>1</v>
      </c>
      <c r="V195" t="s">
        <v>1</v>
      </c>
      <c r="W195" t="s">
        <v>1</v>
      </c>
      <c r="X195" t="s">
        <v>1</v>
      </c>
      <c r="Y195" t="s">
        <v>1</v>
      </c>
      <c r="Z195" t="s">
        <v>1</v>
      </c>
      <c r="AA195" t="s">
        <v>1</v>
      </c>
      <c r="AB195" t="s">
        <v>1</v>
      </c>
      <c r="AC195" t="s">
        <v>1</v>
      </c>
      <c r="AD195" t="s">
        <v>1</v>
      </c>
      <c r="AE195" t="s">
        <v>1</v>
      </c>
      <c r="AF195" t="s">
        <v>1</v>
      </c>
      <c r="AG195" t="s">
        <v>1</v>
      </c>
      <c r="AH195" t="s">
        <v>1</v>
      </c>
      <c r="AI195" t="s">
        <v>1</v>
      </c>
      <c r="AJ195" t="s">
        <v>1</v>
      </c>
      <c r="AK195" t="s">
        <v>1</v>
      </c>
      <c r="AL195" t="s">
        <v>1</v>
      </c>
      <c r="AM195" t="s">
        <v>1</v>
      </c>
      <c r="AN195" s="3" t="s">
        <v>876</v>
      </c>
      <c r="AO195" t="str">
        <f t="shared" si="25"/>
        <v>180-17</v>
      </c>
      <c r="AP195">
        <f t="shared" si="26"/>
        <v>29</v>
      </c>
      <c r="AQ195">
        <f t="shared" si="27"/>
        <v>29</v>
      </c>
      <c r="AR195" t="s">
        <v>1355</v>
      </c>
      <c r="AS195" t="s">
        <v>1356</v>
      </c>
      <c r="AT195" t="s">
        <v>714</v>
      </c>
      <c r="AU195" t="s">
        <v>1</v>
      </c>
      <c r="AV195" t="s">
        <v>1</v>
      </c>
      <c r="AW195">
        <v>58.37</v>
      </c>
      <c r="AX195">
        <v>13.48</v>
      </c>
      <c r="AY195" t="s">
        <v>737</v>
      </c>
      <c r="AZ195">
        <f t="shared" si="19"/>
        <v>5.3999999999999999E-2</v>
      </c>
      <c r="BA195" s="3">
        <f t="shared" si="20"/>
        <v>6</v>
      </c>
      <c r="BB195" s="10" t="s">
        <v>1355</v>
      </c>
      <c r="BC195" t="s">
        <v>1461</v>
      </c>
      <c r="BD195" s="30">
        <v>38575</v>
      </c>
      <c r="BE195" s="3" t="s">
        <v>933</v>
      </c>
      <c r="BF195" s="30">
        <v>38936</v>
      </c>
      <c r="BG195" s="19" t="s">
        <v>934</v>
      </c>
      <c r="BH195" s="19" t="s">
        <v>934</v>
      </c>
      <c r="BI195" s="19" t="s">
        <v>945</v>
      </c>
      <c r="BJ195" s="19" t="s">
        <v>934</v>
      </c>
      <c r="BK195" s="19" t="s">
        <v>945</v>
      </c>
      <c r="BL195" s="19" t="s">
        <v>945</v>
      </c>
      <c r="BM195" s="19" t="s">
        <v>945</v>
      </c>
      <c r="BN195" s="19" t="s">
        <v>934</v>
      </c>
      <c r="BO195" s="19" t="s">
        <v>945</v>
      </c>
      <c r="BP195" s="19" t="s">
        <v>945</v>
      </c>
      <c r="BQ195" s="24" t="s">
        <v>945</v>
      </c>
      <c r="BR195" s="24" t="s">
        <v>945</v>
      </c>
      <c r="BS195" s="24" t="s">
        <v>934</v>
      </c>
      <c r="BT195" s="24" t="s">
        <v>934</v>
      </c>
      <c r="BU195" s="24" t="s">
        <v>934</v>
      </c>
      <c r="BV195" s="24" t="s">
        <v>934</v>
      </c>
      <c r="BW195" s="24" t="s">
        <v>934</v>
      </c>
      <c r="BX195" s="24" t="s">
        <v>934</v>
      </c>
      <c r="BY195" s="25" t="s">
        <v>945</v>
      </c>
      <c r="BZ195" t="s">
        <v>62</v>
      </c>
      <c r="CA195" s="20" t="s">
        <v>949</v>
      </c>
      <c r="CB195" t="s">
        <v>1</v>
      </c>
      <c r="CC195" s="4">
        <v>6870</v>
      </c>
      <c r="CD195" s="4" t="s">
        <v>1</v>
      </c>
      <c r="CE195" s="4" t="s">
        <v>1</v>
      </c>
      <c r="CF195" s="5" t="s">
        <v>793</v>
      </c>
      <c r="CG195">
        <v>100</v>
      </c>
      <c r="CH195" t="s">
        <v>1</v>
      </c>
      <c r="CI195" s="28" t="s">
        <v>1</v>
      </c>
      <c r="CJ195" s="10" t="s">
        <v>1</v>
      </c>
      <c r="CK195" s="9" t="s">
        <v>1</v>
      </c>
      <c r="CL195" s="4" t="s">
        <v>1</v>
      </c>
      <c r="CM195" s="4" t="s">
        <v>1</v>
      </c>
      <c r="CN195" s="4" t="s">
        <v>1</v>
      </c>
      <c r="CO195" s="4" t="s">
        <v>1</v>
      </c>
      <c r="CP195" s="4" t="s">
        <v>1</v>
      </c>
      <c r="CQ195" s="4" t="s">
        <v>1</v>
      </c>
      <c r="CR195" s="4" t="s">
        <v>1</v>
      </c>
      <c r="CS195" s="4" t="s">
        <v>1</v>
      </c>
      <c r="CT195" s="4" t="s">
        <v>1</v>
      </c>
      <c r="CU195" s="4" t="s">
        <v>1</v>
      </c>
      <c r="CV195" t="s">
        <v>855</v>
      </c>
      <c r="CW195">
        <v>100</v>
      </c>
      <c r="CX195">
        <v>0</v>
      </c>
      <c r="CY195">
        <v>30</v>
      </c>
      <c r="CZ195" t="s">
        <v>1358</v>
      </c>
      <c r="DA195" t="s">
        <v>734</v>
      </c>
      <c r="DB195">
        <v>64</v>
      </c>
      <c r="DC195">
        <v>0</v>
      </c>
      <c r="DD195">
        <v>30</v>
      </c>
      <c r="DE195" t="s">
        <v>1358</v>
      </c>
      <c r="DF195" t="s">
        <v>735</v>
      </c>
      <c r="DG195">
        <v>22</v>
      </c>
      <c r="DH195">
        <v>0</v>
      </c>
      <c r="DI195">
        <v>30</v>
      </c>
      <c r="DJ195" t="s">
        <v>1358</v>
      </c>
      <c r="DK195" t="s">
        <v>736</v>
      </c>
      <c r="DL195">
        <v>14</v>
      </c>
      <c r="DM195">
        <v>0</v>
      </c>
      <c r="DN195">
        <v>30</v>
      </c>
      <c r="DO195" t="s">
        <v>1358</v>
      </c>
      <c r="DP195" t="s">
        <v>6</v>
      </c>
      <c r="DQ195" t="s">
        <v>813</v>
      </c>
      <c r="DR195">
        <v>6.4</v>
      </c>
      <c r="DS195">
        <v>0</v>
      </c>
      <c r="DT195">
        <v>30</v>
      </c>
      <c r="DU195" t="s">
        <v>1358</v>
      </c>
      <c r="DV195" t="s">
        <v>980</v>
      </c>
      <c r="DW195">
        <v>28</v>
      </c>
      <c r="DX195">
        <v>0</v>
      </c>
      <c r="DY195">
        <v>30</v>
      </c>
      <c r="DZ195" t="s">
        <v>1358</v>
      </c>
      <c r="EA195" t="s">
        <v>982</v>
      </c>
      <c r="EB195">
        <v>16</v>
      </c>
      <c r="EC195">
        <v>0</v>
      </c>
      <c r="ED195">
        <v>30</v>
      </c>
      <c r="EE195" t="s">
        <v>1358</v>
      </c>
      <c r="EG195" t="s">
        <v>981</v>
      </c>
      <c r="EH195">
        <f t="shared" si="21"/>
        <v>1.4</v>
      </c>
      <c r="EI195">
        <v>0</v>
      </c>
      <c r="EJ195">
        <v>30</v>
      </c>
      <c r="EK195" t="s">
        <v>1358</v>
      </c>
      <c r="EL195" t="s">
        <v>734</v>
      </c>
      <c r="EM195">
        <v>71</v>
      </c>
      <c r="EN195">
        <v>30</v>
      </c>
      <c r="EO195">
        <v>60</v>
      </c>
      <c r="EP195" t="s">
        <v>1358</v>
      </c>
      <c r="EQ195" t="s">
        <v>735</v>
      </c>
      <c r="ER195">
        <v>17</v>
      </c>
      <c r="ES195">
        <v>30</v>
      </c>
      <c r="ET195">
        <v>60</v>
      </c>
      <c r="EU195" t="s">
        <v>1358</v>
      </c>
      <c r="EV195" t="s">
        <v>736</v>
      </c>
      <c r="EW195">
        <v>12</v>
      </c>
      <c r="EX195">
        <v>30</v>
      </c>
      <c r="EY195">
        <v>60</v>
      </c>
      <c r="EZ195" t="s">
        <v>1358</v>
      </c>
      <c r="FA195" t="s">
        <v>980</v>
      </c>
      <c r="FB195">
        <v>25</v>
      </c>
      <c r="FC195">
        <v>30</v>
      </c>
      <c r="FD195">
        <v>60</v>
      </c>
      <c r="FE195" t="s">
        <v>1358</v>
      </c>
      <c r="FF195" t="s">
        <v>734</v>
      </c>
      <c r="FG195">
        <f t="shared" si="22"/>
        <v>67.34</v>
      </c>
      <c r="FH195">
        <v>60</v>
      </c>
      <c r="FI195">
        <v>90</v>
      </c>
      <c r="FJ195" t="s">
        <v>1358</v>
      </c>
      <c r="FK195" t="s">
        <v>735</v>
      </c>
      <c r="FL195">
        <f t="shared" si="23"/>
        <v>20.100000000000001</v>
      </c>
      <c r="FM195">
        <v>60</v>
      </c>
      <c r="FN195">
        <v>90</v>
      </c>
      <c r="FO195" t="s">
        <v>1358</v>
      </c>
      <c r="FP195" t="s">
        <v>736</v>
      </c>
      <c r="FQ195">
        <f t="shared" si="24"/>
        <v>12.56</v>
      </c>
      <c r="FR195">
        <v>60</v>
      </c>
      <c r="FS195">
        <v>90</v>
      </c>
      <c r="FT195" t="s">
        <v>1358</v>
      </c>
      <c r="FU195" t="s">
        <v>980</v>
      </c>
      <c r="FV195">
        <v>25</v>
      </c>
      <c r="FW195">
        <v>60</v>
      </c>
      <c r="FX195">
        <v>90</v>
      </c>
      <c r="FY195" t="s">
        <v>1358</v>
      </c>
      <c r="FZ195" t="s">
        <v>957</v>
      </c>
      <c r="GA195" t="s">
        <v>958</v>
      </c>
      <c r="GB195" t="s">
        <v>959</v>
      </c>
      <c r="GC195" t="s">
        <v>1</v>
      </c>
      <c r="GD195" t="s">
        <v>1</v>
      </c>
      <c r="GE195" s="26" t="s">
        <v>1358</v>
      </c>
      <c r="GF195" t="s">
        <v>957</v>
      </c>
      <c r="GG195" t="s">
        <v>961</v>
      </c>
      <c r="GH195" t="s">
        <v>960</v>
      </c>
      <c r="GI195" s="20">
        <v>1961</v>
      </c>
      <c r="GJ195" s="20">
        <v>1990</v>
      </c>
      <c r="GK195" s="26" t="s">
        <v>1358</v>
      </c>
      <c r="GL195" t="s">
        <v>953</v>
      </c>
      <c r="GM195" t="s">
        <v>955</v>
      </c>
      <c r="GN195" t="s">
        <v>954</v>
      </c>
      <c r="GO195" s="5" t="s">
        <v>956</v>
      </c>
      <c r="GP195" s="5" t="s">
        <v>1382</v>
      </c>
      <c r="GQ195" s="5" t="s">
        <v>962</v>
      </c>
      <c r="GR195" s="5" t="s">
        <v>963</v>
      </c>
      <c r="GS195" s="5" t="s">
        <v>959</v>
      </c>
      <c r="GT195" s="26" t="s">
        <v>1358</v>
      </c>
      <c r="GU195" s="5" t="s">
        <v>962</v>
      </c>
      <c r="GV195" s="5" t="s">
        <v>964</v>
      </c>
      <c r="GW195" s="5" t="s">
        <v>960</v>
      </c>
      <c r="GX195" s="20">
        <v>1961</v>
      </c>
      <c r="GY195" s="20">
        <v>1990</v>
      </c>
      <c r="GZ195" s="26" t="s">
        <v>1358</v>
      </c>
      <c r="HA195" s="5" t="s">
        <v>1</v>
      </c>
      <c r="HB195" s="5" t="s">
        <v>1</v>
      </c>
      <c r="HC195" s="5" t="s">
        <v>1</v>
      </c>
      <c r="HD195" s="5" t="s">
        <v>1</v>
      </c>
      <c r="HE195" t="s">
        <v>1</v>
      </c>
      <c r="HF195" s="5" t="s">
        <v>1</v>
      </c>
      <c r="HG195" s="5" t="s">
        <v>1</v>
      </c>
      <c r="HH195" s="5" t="s">
        <v>1</v>
      </c>
      <c r="HI195" s="5" t="s">
        <v>1</v>
      </c>
      <c r="HJ195" t="s">
        <v>1</v>
      </c>
      <c r="HK195" t="s">
        <v>1</v>
      </c>
      <c r="HL195" t="s">
        <v>1</v>
      </c>
      <c r="HM195" t="s">
        <v>1</v>
      </c>
      <c r="HN195" t="s">
        <v>1</v>
      </c>
      <c r="HO195" t="s">
        <v>1</v>
      </c>
      <c r="HP195" t="s">
        <v>1</v>
      </c>
      <c r="HQ195" t="s">
        <v>983</v>
      </c>
      <c r="HR195" t="s">
        <v>1037</v>
      </c>
      <c r="HS195" s="5" t="s">
        <v>1039</v>
      </c>
      <c r="HT195" s="28" t="s">
        <v>1425</v>
      </c>
      <c r="HU195" s="5" t="s">
        <v>842</v>
      </c>
      <c r="HV195" s="5" t="s">
        <v>1358</v>
      </c>
      <c r="HW195" t="s">
        <v>937</v>
      </c>
      <c r="HX195" s="3" t="s">
        <v>1</v>
      </c>
      <c r="HY195" s="30">
        <v>38614</v>
      </c>
      <c r="HZ195" t="s">
        <v>1295</v>
      </c>
      <c r="IA195">
        <v>100</v>
      </c>
      <c r="IB195" s="10" t="s">
        <v>1</v>
      </c>
      <c r="IC195" s="10">
        <v>15</v>
      </c>
      <c r="ID195" s="10" t="s">
        <v>984</v>
      </c>
      <c r="IE195" s="10" t="s">
        <v>1</v>
      </c>
      <c r="IF195" s="10" t="s">
        <v>1</v>
      </c>
      <c r="IG195" t="s">
        <v>1</v>
      </c>
      <c r="IH195" s="10" t="s">
        <v>1</v>
      </c>
      <c r="II195" s="10" t="s">
        <v>1</v>
      </c>
      <c r="IJ195" s="10" t="s">
        <v>1</v>
      </c>
      <c r="IK195" t="s">
        <v>1</v>
      </c>
      <c r="IL195" s="10" t="s">
        <v>1</v>
      </c>
      <c r="IM195" s="10" t="s">
        <v>1</v>
      </c>
      <c r="IN195" s="10" t="s">
        <v>1</v>
      </c>
      <c r="IO195" s="10" t="s">
        <v>1</v>
      </c>
      <c r="IP195" s="10" t="s">
        <v>1</v>
      </c>
      <c r="IQ195" s="10" t="s">
        <v>1</v>
      </c>
      <c r="IR195" s="10" t="s">
        <v>1</v>
      </c>
      <c r="IS195" t="s">
        <v>1</v>
      </c>
      <c r="IT195" t="s">
        <v>1</v>
      </c>
      <c r="IW195" t="s">
        <v>1</v>
      </c>
      <c r="IX195" t="s">
        <v>1</v>
      </c>
      <c r="IY195" t="s">
        <v>1</v>
      </c>
      <c r="IZ195" t="s">
        <v>1</v>
      </c>
      <c r="JA195" t="s">
        <v>1</v>
      </c>
      <c r="JB195" s="3" t="s">
        <v>1</v>
      </c>
      <c r="JC195" t="s">
        <v>1</v>
      </c>
      <c r="JD195" s="4" t="s">
        <v>1</v>
      </c>
      <c r="JE195" t="s">
        <v>810</v>
      </c>
      <c r="JF195">
        <v>100</v>
      </c>
      <c r="JG195" t="s">
        <v>859</v>
      </c>
      <c r="JH195" t="s">
        <v>1393</v>
      </c>
      <c r="JI195" t="s">
        <v>947</v>
      </c>
      <c r="JJ195" t="s">
        <v>1</v>
      </c>
      <c r="JK195" t="s">
        <v>1052</v>
      </c>
      <c r="JL195" t="s">
        <v>1</v>
      </c>
      <c r="JM195" t="s">
        <v>1</v>
      </c>
      <c r="JN195" t="s">
        <v>1050</v>
      </c>
      <c r="JO195" s="30">
        <v>38614</v>
      </c>
      <c r="JP195" t="s">
        <v>1051</v>
      </c>
      <c r="JQ195" s="32" t="s">
        <v>1058</v>
      </c>
      <c r="JR195" t="s">
        <v>1066</v>
      </c>
      <c r="JS195" t="s">
        <v>1012</v>
      </c>
      <c r="JT195" t="s">
        <v>995</v>
      </c>
      <c r="JU195" t="s">
        <v>1</v>
      </c>
      <c r="JV195" t="s">
        <v>1424</v>
      </c>
      <c r="JW195" t="s">
        <v>842</v>
      </c>
      <c r="JX195">
        <v>0</v>
      </c>
      <c r="JY195">
        <v>80</v>
      </c>
      <c r="JZ195" t="s">
        <v>800</v>
      </c>
      <c r="KA195" t="s">
        <v>206</v>
      </c>
      <c r="KB195" t="s">
        <v>738</v>
      </c>
      <c r="KC195" t="s">
        <v>1</v>
      </c>
      <c r="KD195" t="s">
        <v>1</v>
      </c>
      <c r="KE195" t="s">
        <v>1</v>
      </c>
      <c r="KF195" t="s">
        <v>1</v>
      </c>
      <c r="KG195" t="s">
        <v>1</v>
      </c>
      <c r="KH195" t="s">
        <v>1</v>
      </c>
      <c r="KI195" t="s">
        <v>1</v>
      </c>
      <c r="KJ195" t="s">
        <v>1</v>
      </c>
      <c r="KK195" t="s">
        <v>1</v>
      </c>
    </row>
    <row r="196" spans="1:297" x14ac:dyDescent="0.2">
      <c r="A196" s="3" t="s">
        <v>877</v>
      </c>
      <c r="B196" t="s">
        <v>705</v>
      </c>
      <c r="C196" t="s">
        <v>904</v>
      </c>
      <c r="D196" t="s">
        <v>690</v>
      </c>
      <c r="E196">
        <v>29</v>
      </c>
      <c r="F196" t="s">
        <v>213</v>
      </c>
      <c r="G196" t="s">
        <v>1</v>
      </c>
      <c r="H196" s="26" t="s">
        <v>1420</v>
      </c>
      <c r="I196" t="s">
        <v>1</v>
      </c>
      <c r="J196" t="s">
        <v>1</v>
      </c>
      <c r="K196" t="s">
        <v>1</v>
      </c>
      <c r="L196" t="s">
        <v>1</v>
      </c>
      <c r="M196" t="s">
        <v>1</v>
      </c>
      <c r="N196" t="s">
        <v>1</v>
      </c>
      <c r="O196" t="s">
        <v>1</v>
      </c>
      <c r="P196" t="s">
        <v>1</v>
      </c>
      <c r="Q196" t="s">
        <v>1</v>
      </c>
      <c r="R196" t="s">
        <v>1</v>
      </c>
      <c r="S196" t="s">
        <v>1</v>
      </c>
      <c r="T196" t="s">
        <v>1</v>
      </c>
      <c r="U196" t="s">
        <v>1</v>
      </c>
      <c r="V196" t="s">
        <v>1</v>
      </c>
      <c r="W196" t="s">
        <v>1</v>
      </c>
      <c r="X196" t="s">
        <v>1</v>
      </c>
      <c r="Y196" t="s">
        <v>1</v>
      </c>
      <c r="Z196" t="s">
        <v>1</v>
      </c>
      <c r="AA196" t="s">
        <v>1</v>
      </c>
      <c r="AB196" t="s">
        <v>1</v>
      </c>
      <c r="AC196" t="s">
        <v>1</v>
      </c>
      <c r="AD196" t="s">
        <v>1</v>
      </c>
      <c r="AE196" t="s">
        <v>1</v>
      </c>
      <c r="AF196" t="s">
        <v>1</v>
      </c>
      <c r="AG196" t="s">
        <v>1</v>
      </c>
      <c r="AH196" t="s">
        <v>1</v>
      </c>
      <c r="AI196" t="s">
        <v>1</v>
      </c>
      <c r="AJ196" t="s">
        <v>1</v>
      </c>
      <c r="AK196" t="s">
        <v>1</v>
      </c>
      <c r="AL196" t="s">
        <v>1</v>
      </c>
      <c r="AM196" t="s">
        <v>1</v>
      </c>
      <c r="AN196" s="3" t="s">
        <v>877</v>
      </c>
      <c r="AO196" t="str">
        <f t="shared" si="25"/>
        <v>180-18</v>
      </c>
      <c r="AP196">
        <f t="shared" si="26"/>
        <v>29</v>
      </c>
      <c r="AQ196">
        <f t="shared" si="27"/>
        <v>29</v>
      </c>
      <c r="AR196" t="s">
        <v>1355</v>
      </c>
      <c r="AS196" t="s">
        <v>1356</v>
      </c>
      <c r="AT196" t="s">
        <v>714</v>
      </c>
      <c r="AU196" t="s">
        <v>1</v>
      </c>
      <c r="AV196" t="s">
        <v>1</v>
      </c>
      <c r="AW196">
        <v>58.37</v>
      </c>
      <c r="AX196">
        <v>13.48</v>
      </c>
      <c r="AY196" t="s">
        <v>737</v>
      </c>
      <c r="AZ196">
        <f t="shared" si="19"/>
        <v>5.3999999999999999E-2</v>
      </c>
      <c r="BA196" s="3">
        <f t="shared" si="20"/>
        <v>6</v>
      </c>
      <c r="BB196" s="10" t="s">
        <v>1355</v>
      </c>
      <c r="BC196" t="s">
        <v>1461</v>
      </c>
      <c r="BD196" s="30">
        <v>38575</v>
      </c>
      <c r="BE196" s="3" t="s">
        <v>933</v>
      </c>
      <c r="BF196" s="30">
        <v>38936</v>
      </c>
      <c r="BG196" s="19" t="s">
        <v>934</v>
      </c>
      <c r="BH196" s="19" t="s">
        <v>934</v>
      </c>
      <c r="BI196" s="19" t="s">
        <v>945</v>
      </c>
      <c r="BJ196" s="19" t="s">
        <v>934</v>
      </c>
      <c r="BK196" s="19" t="s">
        <v>945</v>
      </c>
      <c r="BL196" s="19" t="s">
        <v>945</v>
      </c>
      <c r="BM196" s="19" t="s">
        <v>945</v>
      </c>
      <c r="BN196" s="19" t="s">
        <v>934</v>
      </c>
      <c r="BO196" s="19" t="s">
        <v>945</v>
      </c>
      <c r="BP196" s="19" t="s">
        <v>945</v>
      </c>
      <c r="BQ196" s="24" t="s">
        <v>945</v>
      </c>
      <c r="BR196" s="24" t="s">
        <v>945</v>
      </c>
      <c r="BS196" s="24" t="s">
        <v>934</v>
      </c>
      <c r="BT196" s="24" t="s">
        <v>934</v>
      </c>
      <c r="BU196" s="24" t="s">
        <v>934</v>
      </c>
      <c r="BV196" s="24" t="s">
        <v>934</v>
      </c>
      <c r="BW196" s="24" t="s">
        <v>934</v>
      </c>
      <c r="BX196" s="24" t="s">
        <v>934</v>
      </c>
      <c r="BY196" s="25" t="s">
        <v>945</v>
      </c>
      <c r="BZ196" t="s">
        <v>62</v>
      </c>
      <c r="CA196" s="20" t="s">
        <v>949</v>
      </c>
      <c r="CB196" t="s">
        <v>1</v>
      </c>
      <c r="CC196" s="4">
        <v>6520</v>
      </c>
      <c r="CD196" s="4" t="s">
        <v>1</v>
      </c>
      <c r="CE196" s="4" t="s">
        <v>1</v>
      </c>
      <c r="CF196" s="5" t="s">
        <v>793</v>
      </c>
      <c r="CG196">
        <v>100</v>
      </c>
      <c r="CH196" t="s">
        <v>1</v>
      </c>
      <c r="CI196" s="28" t="s">
        <v>1</v>
      </c>
      <c r="CJ196" s="10" t="s">
        <v>1</v>
      </c>
      <c r="CK196" s="9" t="s">
        <v>1</v>
      </c>
      <c r="CL196" s="4" t="s">
        <v>1</v>
      </c>
      <c r="CM196" s="4" t="s">
        <v>1</v>
      </c>
      <c r="CN196" s="4" t="s">
        <v>1</v>
      </c>
      <c r="CO196" s="4" t="s">
        <v>1</v>
      </c>
      <c r="CP196" s="4" t="s">
        <v>1</v>
      </c>
      <c r="CQ196" s="4" t="s">
        <v>1</v>
      </c>
      <c r="CR196" s="4" t="s">
        <v>1</v>
      </c>
      <c r="CS196" s="4" t="s">
        <v>1</v>
      </c>
      <c r="CT196" s="4" t="s">
        <v>1</v>
      </c>
      <c r="CU196" s="4" t="s">
        <v>1</v>
      </c>
      <c r="CV196" t="s">
        <v>855</v>
      </c>
      <c r="CW196">
        <v>100</v>
      </c>
      <c r="CX196">
        <v>0</v>
      </c>
      <c r="CY196">
        <v>30</v>
      </c>
      <c r="CZ196" t="s">
        <v>1358</v>
      </c>
      <c r="DA196" t="s">
        <v>734</v>
      </c>
      <c r="DB196">
        <v>64</v>
      </c>
      <c r="DC196">
        <v>0</v>
      </c>
      <c r="DD196">
        <v>30</v>
      </c>
      <c r="DE196" t="s">
        <v>1358</v>
      </c>
      <c r="DF196" t="s">
        <v>735</v>
      </c>
      <c r="DG196">
        <v>22</v>
      </c>
      <c r="DH196">
        <v>0</v>
      </c>
      <c r="DI196">
        <v>30</v>
      </c>
      <c r="DJ196" t="s">
        <v>1358</v>
      </c>
      <c r="DK196" t="s">
        <v>736</v>
      </c>
      <c r="DL196">
        <v>14</v>
      </c>
      <c r="DM196">
        <v>0</v>
      </c>
      <c r="DN196">
        <v>30</v>
      </c>
      <c r="DO196" t="s">
        <v>1358</v>
      </c>
      <c r="DP196" t="s">
        <v>6</v>
      </c>
      <c r="DQ196" t="s">
        <v>813</v>
      </c>
      <c r="DR196">
        <v>6.4</v>
      </c>
      <c r="DS196">
        <v>0</v>
      </c>
      <c r="DT196">
        <v>30</v>
      </c>
      <c r="DU196" t="s">
        <v>1358</v>
      </c>
      <c r="DV196" t="s">
        <v>980</v>
      </c>
      <c r="DW196">
        <v>28</v>
      </c>
      <c r="DX196">
        <v>0</v>
      </c>
      <c r="DY196">
        <v>30</v>
      </c>
      <c r="DZ196" t="s">
        <v>1358</v>
      </c>
      <c r="EA196" t="s">
        <v>982</v>
      </c>
      <c r="EB196">
        <v>16</v>
      </c>
      <c r="EC196">
        <v>0</v>
      </c>
      <c r="ED196">
        <v>30</v>
      </c>
      <c r="EE196" t="s">
        <v>1358</v>
      </c>
      <c r="EG196" t="s">
        <v>981</v>
      </c>
      <c r="EH196">
        <f t="shared" si="21"/>
        <v>1.4</v>
      </c>
      <c r="EI196">
        <v>0</v>
      </c>
      <c r="EJ196">
        <v>30</v>
      </c>
      <c r="EK196" t="s">
        <v>1358</v>
      </c>
      <c r="EL196" t="s">
        <v>734</v>
      </c>
      <c r="EM196">
        <v>71</v>
      </c>
      <c r="EN196">
        <v>30</v>
      </c>
      <c r="EO196">
        <v>60</v>
      </c>
      <c r="EP196" t="s">
        <v>1358</v>
      </c>
      <c r="EQ196" t="s">
        <v>735</v>
      </c>
      <c r="ER196">
        <v>17</v>
      </c>
      <c r="ES196">
        <v>30</v>
      </c>
      <c r="ET196">
        <v>60</v>
      </c>
      <c r="EU196" t="s">
        <v>1358</v>
      </c>
      <c r="EV196" t="s">
        <v>736</v>
      </c>
      <c r="EW196">
        <v>12</v>
      </c>
      <c r="EX196">
        <v>30</v>
      </c>
      <c r="EY196">
        <v>60</v>
      </c>
      <c r="EZ196" t="s">
        <v>1358</v>
      </c>
      <c r="FA196" t="s">
        <v>980</v>
      </c>
      <c r="FB196">
        <v>25</v>
      </c>
      <c r="FC196">
        <v>30</v>
      </c>
      <c r="FD196">
        <v>60</v>
      </c>
      <c r="FE196" t="s">
        <v>1358</v>
      </c>
      <c r="FF196" t="s">
        <v>734</v>
      </c>
      <c r="FG196">
        <f t="shared" si="22"/>
        <v>67.34</v>
      </c>
      <c r="FH196">
        <v>60</v>
      </c>
      <c r="FI196">
        <v>90</v>
      </c>
      <c r="FJ196" t="s">
        <v>1358</v>
      </c>
      <c r="FK196" t="s">
        <v>735</v>
      </c>
      <c r="FL196">
        <f t="shared" si="23"/>
        <v>20.100000000000001</v>
      </c>
      <c r="FM196">
        <v>60</v>
      </c>
      <c r="FN196">
        <v>90</v>
      </c>
      <c r="FO196" t="s">
        <v>1358</v>
      </c>
      <c r="FP196" t="s">
        <v>736</v>
      </c>
      <c r="FQ196">
        <f t="shared" si="24"/>
        <v>12.56</v>
      </c>
      <c r="FR196">
        <v>60</v>
      </c>
      <c r="FS196">
        <v>90</v>
      </c>
      <c r="FT196" t="s">
        <v>1358</v>
      </c>
      <c r="FU196" t="s">
        <v>980</v>
      </c>
      <c r="FV196">
        <v>25</v>
      </c>
      <c r="FW196">
        <v>60</v>
      </c>
      <c r="FX196">
        <v>90</v>
      </c>
      <c r="FY196" t="s">
        <v>1358</v>
      </c>
      <c r="FZ196" t="s">
        <v>957</v>
      </c>
      <c r="GA196" t="s">
        <v>958</v>
      </c>
      <c r="GB196" t="s">
        <v>959</v>
      </c>
      <c r="GC196" t="s">
        <v>1</v>
      </c>
      <c r="GD196" t="s">
        <v>1</v>
      </c>
      <c r="GE196" s="26" t="s">
        <v>1358</v>
      </c>
      <c r="GF196" t="s">
        <v>957</v>
      </c>
      <c r="GG196" t="s">
        <v>961</v>
      </c>
      <c r="GH196" t="s">
        <v>960</v>
      </c>
      <c r="GI196" s="20">
        <v>1961</v>
      </c>
      <c r="GJ196" s="20">
        <v>1990</v>
      </c>
      <c r="GK196" s="26" t="s">
        <v>1358</v>
      </c>
      <c r="GL196" t="s">
        <v>953</v>
      </c>
      <c r="GM196" t="s">
        <v>955</v>
      </c>
      <c r="GN196" t="s">
        <v>954</v>
      </c>
      <c r="GO196" s="5" t="s">
        <v>956</v>
      </c>
      <c r="GP196" s="5" t="s">
        <v>1382</v>
      </c>
      <c r="GQ196" s="5" t="s">
        <v>962</v>
      </c>
      <c r="GR196" s="5" t="s">
        <v>963</v>
      </c>
      <c r="GS196" s="5" t="s">
        <v>959</v>
      </c>
      <c r="GT196" s="26" t="s">
        <v>1358</v>
      </c>
      <c r="GU196" s="5" t="s">
        <v>962</v>
      </c>
      <c r="GV196" s="5" t="s">
        <v>964</v>
      </c>
      <c r="GW196" s="5" t="s">
        <v>960</v>
      </c>
      <c r="GX196" s="20">
        <v>1961</v>
      </c>
      <c r="GY196" s="20">
        <v>1990</v>
      </c>
      <c r="GZ196" s="26" t="s">
        <v>1358</v>
      </c>
      <c r="HA196" s="5" t="s">
        <v>1</v>
      </c>
      <c r="HB196" s="5" t="s">
        <v>1</v>
      </c>
      <c r="HC196" s="5" t="s">
        <v>1</v>
      </c>
      <c r="HD196" s="5" t="s">
        <v>1</v>
      </c>
      <c r="HE196" t="s">
        <v>1</v>
      </c>
      <c r="HF196" s="5" t="s">
        <v>1</v>
      </c>
      <c r="HG196" s="5" t="s">
        <v>1</v>
      </c>
      <c r="HH196" s="5" t="s">
        <v>1</v>
      </c>
      <c r="HI196" s="5" t="s">
        <v>1</v>
      </c>
      <c r="HJ196" t="s">
        <v>1</v>
      </c>
      <c r="HK196" t="s">
        <v>1</v>
      </c>
      <c r="HL196" t="s">
        <v>1</v>
      </c>
      <c r="HM196" t="s">
        <v>1</v>
      </c>
      <c r="HN196" t="s">
        <v>1</v>
      </c>
      <c r="HO196" t="s">
        <v>1</v>
      </c>
      <c r="HP196" t="s">
        <v>1</v>
      </c>
      <c r="HQ196" t="s">
        <v>983</v>
      </c>
      <c r="HR196" t="s">
        <v>1038</v>
      </c>
      <c r="HS196" s="5" t="s">
        <v>1039</v>
      </c>
      <c r="HT196" s="28" t="s">
        <v>1425</v>
      </c>
      <c r="HU196" s="5" t="s">
        <v>842</v>
      </c>
      <c r="HV196" s="5" t="s">
        <v>1358</v>
      </c>
      <c r="HW196" t="s">
        <v>937</v>
      </c>
      <c r="HX196" s="3" t="s">
        <v>1</v>
      </c>
      <c r="HY196" s="30">
        <v>38614</v>
      </c>
      <c r="HZ196" t="s">
        <v>1295</v>
      </c>
      <c r="IA196">
        <v>100</v>
      </c>
      <c r="IB196" s="10" t="s">
        <v>1</v>
      </c>
      <c r="IC196" s="10">
        <v>15</v>
      </c>
      <c r="ID196" s="10" t="s">
        <v>984</v>
      </c>
      <c r="IE196" s="10" t="s">
        <v>1</v>
      </c>
      <c r="IF196" s="10" t="s">
        <v>1</v>
      </c>
      <c r="IG196" t="s">
        <v>1</v>
      </c>
      <c r="IH196" s="10" t="s">
        <v>1</v>
      </c>
      <c r="II196" s="10" t="s">
        <v>1</v>
      </c>
      <c r="IJ196" s="10" t="s">
        <v>1</v>
      </c>
      <c r="IK196" t="s">
        <v>1</v>
      </c>
      <c r="IL196" s="10" t="s">
        <v>1</v>
      </c>
      <c r="IM196" s="10" t="s">
        <v>1</v>
      </c>
      <c r="IN196" s="10" t="s">
        <v>1</v>
      </c>
      <c r="IO196" s="10" t="s">
        <v>1</v>
      </c>
      <c r="IP196" s="10" t="s">
        <v>1</v>
      </c>
      <c r="IQ196" s="10" t="s">
        <v>1</v>
      </c>
      <c r="IR196" s="10" t="s">
        <v>1</v>
      </c>
      <c r="IS196" t="s">
        <v>1</v>
      </c>
      <c r="IT196" t="s">
        <v>1</v>
      </c>
      <c r="IW196" t="s">
        <v>1</v>
      </c>
      <c r="IX196" t="s">
        <v>1</v>
      </c>
      <c r="IY196" t="s">
        <v>1</v>
      </c>
      <c r="IZ196" t="s">
        <v>1</v>
      </c>
      <c r="JA196" t="s">
        <v>1</v>
      </c>
      <c r="JB196" s="3" t="s">
        <v>1</v>
      </c>
      <c r="JC196" t="s">
        <v>1</v>
      </c>
      <c r="JD196" s="4" t="s">
        <v>1</v>
      </c>
      <c r="JE196" t="s">
        <v>809</v>
      </c>
      <c r="JF196">
        <v>100</v>
      </c>
      <c r="JG196" t="s">
        <v>859</v>
      </c>
      <c r="JH196" t="s">
        <v>1393</v>
      </c>
      <c r="JI196" t="s">
        <v>1</v>
      </c>
      <c r="JJ196" t="s">
        <v>1</v>
      </c>
      <c r="JK196" s="31" t="s">
        <v>1</v>
      </c>
      <c r="JL196" t="s">
        <v>1</v>
      </c>
      <c r="JM196" t="s">
        <v>1</v>
      </c>
      <c r="JN196" t="s">
        <v>1064</v>
      </c>
      <c r="JO196" s="30">
        <v>38614</v>
      </c>
      <c r="JP196" t="s">
        <v>1051</v>
      </c>
      <c r="JQ196" s="32" t="s">
        <v>1058</v>
      </c>
      <c r="JR196" t="s">
        <v>1066</v>
      </c>
      <c r="JS196" t="s">
        <v>1013</v>
      </c>
      <c r="JT196" t="s">
        <v>995</v>
      </c>
      <c r="JU196" t="s">
        <v>1</v>
      </c>
      <c r="JV196" t="s">
        <v>1424</v>
      </c>
      <c r="JW196" t="s">
        <v>842</v>
      </c>
      <c r="JX196">
        <v>0</v>
      </c>
      <c r="JY196">
        <v>80</v>
      </c>
      <c r="JZ196" t="s">
        <v>800</v>
      </c>
      <c r="KA196" t="s">
        <v>206</v>
      </c>
      <c r="KB196" t="s">
        <v>738</v>
      </c>
      <c r="KC196" t="s">
        <v>1</v>
      </c>
      <c r="KD196" t="s">
        <v>1</v>
      </c>
      <c r="KE196" t="s">
        <v>1</v>
      </c>
      <c r="KF196" t="s">
        <v>1</v>
      </c>
      <c r="KG196" t="s">
        <v>1</v>
      </c>
      <c r="KH196" t="s">
        <v>1</v>
      </c>
      <c r="KI196" t="s">
        <v>1</v>
      </c>
      <c r="KJ196" t="s">
        <v>1</v>
      </c>
      <c r="KK196" t="s">
        <v>1</v>
      </c>
    </row>
    <row r="197" spans="1:297" x14ac:dyDescent="0.2">
      <c r="A197" s="3" t="s">
        <v>878</v>
      </c>
      <c r="B197" t="s">
        <v>705</v>
      </c>
      <c r="C197" t="s">
        <v>914</v>
      </c>
      <c r="D197" t="s">
        <v>690</v>
      </c>
      <c r="E197">
        <v>29</v>
      </c>
      <c r="F197" t="s">
        <v>213</v>
      </c>
      <c r="G197" t="s">
        <v>1</v>
      </c>
      <c r="H197" s="26" t="s">
        <v>1420</v>
      </c>
      <c r="I197" t="s">
        <v>1</v>
      </c>
      <c r="J197" t="s">
        <v>1</v>
      </c>
      <c r="K197" t="s">
        <v>1</v>
      </c>
      <c r="L197" t="s">
        <v>1</v>
      </c>
      <c r="M197" t="s">
        <v>1</v>
      </c>
      <c r="N197" t="s">
        <v>1</v>
      </c>
      <c r="O197" t="s">
        <v>1</v>
      </c>
      <c r="P197" t="s">
        <v>1</v>
      </c>
      <c r="Q197" t="s">
        <v>1</v>
      </c>
      <c r="R197" t="s">
        <v>1</v>
      </c>
      <c r="S197" t="s">
        <v>1</v>
      </c>
      <c r="T197" t="s">
        <v>1</v>
      </c>
      <c r="U197" t="s">
        <v>1</v>
      </c>
      <c r="V197" t="s">
        <v>1</v>
      </c>
      <c r="W197" t="s">
        <v>1</v>
      </c>
      <c r="X197" t="s">
        <v>1</v>
      </c>
      <c r="Y197" t="s">
        <v>1</v>
      </c>
      <c r="Z197" t="s">
        <v>1</v>
      </c>
      <c r="AA197" t="s">
        <v>1</v>
      </c>
      <c r="AB197" t="s">
        <v>1</v>
      </c>
      <c r="AC197" t="s">
        <v>1</v>
      </c>
      <c r="AD197" t="s">
        <v>1</v>
      </c>
      <c r="AE197" t="s">
        <v>1</v>
      </c>
      <c r="AF197" t="s">
        <v>1</v>
      </c>
      <c r="AG197" t="s">
        <v>1</v>
      </c>
      <c r="AH197" t="s">
        <v>1</v>
      </c>
      <c r="AI197" t="s">
        <v>1</v>
      </c>
      <c r="AJ197" t="s">
        <v>1</v>
      </c>
      <c r="AK197" t="s">
        <v>1</v>
      </c>
      <c r="AL197" t="s">
        <v>1</v>
      </c>
      <c r="AM197" t="s">
        <v>1</v>
      </c>
      <c r="AN197" s="3" t="s">
        <v>878</v>
      </c>
      <c r="AO197" t="str">
        <f t="shared" si="25"/>
        <v>180-19</v>
      </c>
      <c r="AP197">
        <f t="shared" si="26"/>
        <v>29</v>
      </c>
      <c r="AQ197">
        <f t="shared" si="27"/>
        <v>29</v>
      </c>
      <c r="AR197" t="s">
        <v>1355</v>
      </c>
      <c r="AS197" t="s">
        <v>1356</v>
      </c>
      <c r="AT197" t="s">
        <v>714</v>
      </c>
      <c r="AU197" t="s">
        <v>1</v>
      </c>
      <c r="AV197" t="s">
        <v>1</v>
      </c>
      <c r="AW197">
        <v>58.37</v>
      </c>
      <c r="AX197">
        <v>13.48</v>
      </c>
      <c r="AY197" t="s">
        <v>737</v>
      </c>
      <c r="AZ197">
        <f t="shared" si="19"/>
        <v>5.3999999999999999E-2</v>
      </c>
      <c r="BA197" s="3">
        <f t="shared" si="20"/>
        <v>6</v>
      </c>
      <c r="BB197" s="10" t="s">
        <v>1355</v>
      </c>
      <c r="BC197" t="s">
        <v>1461</v>
      </c>
      <c r="BD197" s="30">
        <v>38589</v>
      </c>
      <c r="BE197" s="3" t="s">
        <v>932</v>
      </c>
      <c r="BF197" s="30">
        <v>38933</v>
      </c>
      <c r="BG197" s="19" t="s">
        <v>934</v>
      </c>
      <c r="BH197" s="19" t="s">
        <v>934</v>
      </c>
      <c r="BI197" s="19" t="s">
        <v>945</v>
      </c>
      <c r="BJ197" s="19" t="s">
        <v>934</v>
      </c>
      <c r="BK197" s="19" t="s">
        <v>945</v>
      </c>
      <c r="BL197" s="19" t="s">
        <v>945</v>
      </c>
      <c r="BM197" s="19" t="s">
        <v>945</v>
      </c>
      <c r="BN197" s="19" t="s">
        <v>934</v>
      </c>
      <c r="BO197" s="19" t="s">
        <v>945</v>
      </c>
      <c r="BP197" s="19" t="s">
        <v>945</v>
      </c>
      <c r="BQ197" s="24" t="s">
        <v>945</v>
      </c>
      <c r="BR197" s="24" t="s">
        <v>945</v>
      </c>
      <c r="BS197" s="24" t="s">
        <v>934</v>
      </c>
      <c r="BT197" s="24" t="s">
        <v>934</v>
      </c>
      <c r="BU197" s="24" t="s">
        <v>934</v>
      </c>
      <c r="BV197" s="24" t="s">
        <v>934</v>
      </c>
      <c r="BW197" s="24" t="s">
        <v>934</v>
      </c>
      <c r="BX197" s="24" t="s">
        <v>934</v>
      </c>
      <c r="BY197" s="25" t="s">
        <v>945</v>
      </c>
      <c r="BZ197" t="s">
        <v>1388</v>
      </c>
      <c r="CA197" t="s">
        <v>938</v>
      </c>
      <c r="CB197" t="s">
        <v>1</v>
      </c>
      <c r="CC197" s="4">
        <v>5980</v>
      </c>
      <c r="CD197" s="4" t="s">
        <v>1</v>
      </c>
      <c r="CE197" s="4" t="s">
        <v>1</v>
      </c>
      <c r="CF197" s="5" t="s">
        <v>793</v>
      </c>
      <c r="CG197">
        <v>100</v>
      </c>
      <c r="CH197" t="s">
        <v>1</v>
      </c>
      <c r="CI197" s="28" t="s">
        <v>1</v>
      </c>
      <c r="CJ197" s="10" t="s">
        <v>1</v>
      </c>
      <c r="CK197" s="9" t="s">
        <v>1</v>
      </c>
      <c r="CL197" s="4" t="s">
        <v>1</v>
      </c>
      <c r="CM197" s="5" t="s">
        <v>1025</v>
      </c>
      <c r="CN197" s="4">
        <v>14</v>
      </c>
      <c r="CO197" s="22" t="s">
        <v>1029</v>
      </c>
      <c r="CP197" s="4" t="s">
        <v>1</v>
      </c>
      <c r="CQ197" s="4" t="s">
        <v>1</v>
      </c>
      <c r="CR197" s="4" t="s">
        <v>1</v>
      </c>
      <c r="CS197" s="4" t="s">
        <v>1</v>
      </c>
      <c r="CT197" s="4" t="s">
        <v>1</v>
      </c>
      <c r="CU197" s="4" t="s">
        <v>1</v>
      </c>
      <c r="CV197" t="s">
        <v>855</v>
      </c>
      <c r="CW197">
        <v>100</v>
      </c>
      <c r="CX197">
        <v>0</v>
      </c>
      <c r="CY197">
        <v>30</v>
      </c>
      <c r="CZ197" t="s">
        <v>1358</v>
      </c>
      <c r="DA197" t="s">
        <v>734</v>
      </c>
      <c r="DB197">
        <v>64</v>
      </c>
      <c r="DC197">
        <v>0</v>
      </c>
      <c r="DD197">
        <v>30</v>
      </c>
      <c r="DE197" t="s">
        <v>1358</v>
      </c>
      <c r="DF197" t="s">
        <v>735</v>
      </c>
      <c r="DG197">
        <v>22</v>
      </c>
      <c r="DH197">
        <v>0</v>
      </c>
      <c r="DI197">
        <v>30</v>
      </c>
      <c r="DJ197" t="s">
        <v>1358</v>
      </c>
      <c r="DK197" t="s">
        <v>736</v>
      </c>
      <c r="DL197">
        <v>14</v>
      </c>
      <c r="DM197">
        <v>0</v>
      </c>
      <c r="DN197">
        <v>30</v>
      </c>
      <c r="DO197" t="s">
        <v>1358</v>
      </c>
      <c r="DP197" t="s">
        <v>6</v>
      </c>
      <c r="DQ197" t="s">
        <v>813</v>
      </c>
      <c r="DR197">
        <v>6.4</v>
      </c>
      <c r="DS197">
        <v>0</v>
      </c>
      <c r="DT197">
        <v>30</v>
      </c>
      <c r="DU197" t="s">
        <v>1358</v>
      </c>
      <c r="DV197" t="s">
        <v>980</v>
      </c>
      <c r="DW197">
        <v>28</v>
      </c>
      <c r="DX197">
        <v>0</v>
      </c>
      <c r="DY197">
        <v>30</v>
      </c>
      <c r="DZ197" t="s">
        <v>1358</v>
      </c>
      <c r="EA197" t="s">
        <v>982</v>
      </c>
      <c r="EB197">
        <v>16</v>
      </c>
      <c r="EC197">
        <v>0</v>
      </c>
      <c r="ED197">
        <v>30</v>
      </c>
      <c r="EE197" t="s">
        <v>1358</v>
      </c>
      <c r="EG197" t="s">
        <v>981</v>
      </c>
      <c r="EH197">
        <f t="shared" si="21"/>
        <v>1.4</v>
      </c>
      <c r="EI197">
        <v>0</v>
      </c>
      <c r="EJ197">
        <v>30</v>
      </c>
      <c r="EK197" t="s">
        <v>1358</v>
      </c>
      <c r="EL197" t="s">
        <v>734</v>
      </c>
      <c r="EM197">
        <v>71</v>
      </c>
      <c r="EN197">
        <v>30</v>
      </c>
      <c r="EO197">
        <v>60</v>
      </c>
      <c r="EP197" t="s">
        <v>1358</v>
      </c>
      <c r="EQ197" t="s">
        <v>735</v>
      </c>
      <c r="ER197">
        <v>17</v>
      </c>
      <c r="ES197">
        <v>30</v>
      </c>
      <c r="ET197">
        <v>60</v>
      </c>
      <c r="EU197" t="s">
        <v>1358</v>
      </c>
      <c r="EV197" t="s">
        <v>736</v>
      </c>
      <c r="EW197">
        <v>12</v>
      </c>
      <c r="EX197">
        <v>30</v>
      </c>
      <c r="EY197">
        <v>60</v>
      </c>
      <c r="EZ197" t="s">
        <v>1358</v>
      </c>
      <c r="FA197" t="s">
        <v>980</v>
      </c>
      <c r="FB197">
        <v>25</v>
      </c>
      <c r="FC197">
        <v>30</v>
      </c>
      <c r="FD197">
        <v>60</v>
      </c>
      <c r="FE197" t="s">
        <v>1358</v>
      </c>
      <c r="FF197" t="s">
        <v>734</v>
      </c>
      <c r="FG197">
        <f t="shared" si="22"/>
        <v>67.34</v>
      </c>
      <c r="FH197">
        <v>60</v>
      </c>
      <c r="FI197">
        <v>90</v>
      </c>
      <c r="FJ197" t="s">
        <v>1358</v>
      </c>
      <c r="FK197" t="s">
        <v>735</v>
      </c>
      <c r="FL197">
        <f t="shared" si="23"/>
        <v>20.100000000000001</v>
      </c>
      <c r="FM197">
        <v>60</v>
      </c>
      <c r="FN197">
        <v>90</v>
      </c>
      <c r="FO197" t="s">
        <v>1358</v>
      </c>
      <c r="FP197" t="s">
        <v>736</v>
      </c>
      <c r="FQ197">
        <f t="shared" si="24"/>
        <v>12.56</v>
      </c>
      <c r="FR197">
        <v>60</v>
      </c>
      <c r="FS197">
        <v>90</v>
      </c>
      <c r="FT197" t="s">
        <v>1358</v>
      </c>
      <c r="FU197" t="s">
        <v>980</v>
      </c>
      <c r="FV197">
        <v>25</v>
      </c>
      <c r="FW197">
        <v>60</v>
      </c>
      <c r="FX197">
        <v>90</v>
      </c>
      <c r="FY197" t="s">
        <v>1358</v>
      </c>
      <c r="FZ197" t="s">
        <v>957</v>
      </c>
      <c r="GA197" t="s">
        <v>958</v>
      </c>
      <c r="GB197" t="s">
        <v>959</v>
      </c>
      <c r="GC197" t="s">
        <v>1</v>
      </c>
      <c r="GD197" t="s">
        <v>1</v>
      </c>
      <c r="GE197" s="26" t="s">
        <v>1358</v>
      </c>
      <c r="GF197" t="s">
        <v>957</v>
      </c>
      <c r="GG197" t="s">
        <v>961</v>
      </c>
      <c r="GH197" t="s">
        <v>960</v>
      </c>
      <c r="GI197" s="20">
        <v>1961</v>
      </c>
      <c r="GJ197" s="20">
        <v>1990</v>
      </c>
      <c r="GK197" s="26" t="s">
        <v>1358</v>
      </c>
      <c r="GL197" t="s">
        <v>953</v>
      </c>
      <c r="GM197" t="s">
        <v>955</v>
      </c>
      <c r="GN197" t="s">
        <v>954</v>
      </c>
      <c r="GO197" s="5" t="s">
        <v>956</v>
      </c>
      <c r="GP197" s="5" t="s">
        <v>1382</v>
      </c>
      <c r="GQ197" s="5" t="s">
        <v>962</v>
      </c>
      <c r="GR197" s="5" t="s">
        <v>963</v>
      </c>
      <c r="GS197" s="5" t="s">
        <v>959</v>
      </c>
      <c r="GT197" s="26" t="s">
        <v>1358</v>
      </c>
      <c r="GU197" s="5" t="s">
        <v>962</v>
      </c>
      <c r="GV197" s="5" t="s">
        <v>964</v>
      </c>
      <c r="GW197" s="5" t="s">
        <v>960</v>
      </c>
      <c r="GX197" s="20">
        <v>1961</v>
      </c>
      <c r="GY197" s="20">
        <v>1990</v>
      </c>
      <c r="GZ197" s="26" t="s">
        <v>1358</v>
      </c>
      <c r="HA197" s="5" t="s">
        <v>1</v>
      </c>
      <c r="HB197" s="5" t="s">
        <v>1</v>
      </c>
      <c r="HC197" s="5" t="s">
        <v>1</v>
      </c>
      <c r="HD197" s="5" t="s">
        <v>1</v>
      </c>
      <c r="HE197" t="s">
        <v>1</v>
      </c>
      <c r="HF197" s="5" t="s">
        <v>1</v>
      </c>
      <c r="HG197" s="5" t="s">
        <v>1</v>
      </c>
      <c r="HH197" s="5" t="s">
        <v>1</v>
      </c>
      <c r="HI197" s="5" t="s">
        <v>1</v>
      </c>
      <c r="HJ197" t="s">
        <v>1</v>
      </c>
      <c r="HK197" t="s">
        <v>1</v>
      </c>
      <c r="HL197" t="s">
        <v>1</v>
      </c>
      <c r="HM197" t="s">
        <v>1</v>
      </c>
      <c r="HN197" t="s">
        <v>1</v>
      </c>
      <c r="HO197" t="s">
        <v>1</v>
      </c>
      <c r="HP197" t="s">
        <v>1</v>
      </c>
      <c r="HQ197" t="s">
        <v>983</v>
      </c>
      <c r="HR197" t="s">
        <v>1040</v>
      </c>
      <c r="HS197" s="5" t="s">
        <v>1049</v>
      </c>
      <c r="HT197" s="28" t="s">
        <v>1425</v>
      </c>
      <c r="HU197" s="5" t="s">
        <v>842</v>
      </c>
      <c r="HV197" s="5" t="s">
        <v>1358</v>
      </c>
      <c r="HW197" t="s">
        <v>937</v>
      </c>
      <c r="HX197" s="3" t="s">
        <v>1</v>
      </c>
      <c r="HY197" t="s">
        <v>1</v>
      </c>
      <c r="HZ197" t="s">
        <v>1295</v>
      </c>
      <c r="IA197">
        <v>100</v>
      </c>
      <c r="IB197" s="10" t="s">
        <v>1</v>
      </c>
      <c r="IC197" s="10">
        <v>15</v>
      </c>
      <c r="ID197" s="10" t="s">
        <v>984</v>
      </c>
      <c r="IE197" s="10" t="s">
        <v>1</v>
      </c>
      <c r="IF197" s="10" t="s">
        <v>1</v>
      </c>
      <c r="IG197" t="s">
        <v>1310</v>
      </c>
      <c r="IH197" s="10">
        <f t="shared" ref="IH197:IH205" si="28">50*2.29</f>
        <v>114.5</v>
      </c>
      <c r="II197" s="10" t="s">
        <v>1</v>
      </c>
      <c r="IJ197" s="10" t="s">
        <v>1</v>
      </c>
      <c r="IK197" t="s">
        <v>1311</v>
      </c>
      <c r="IL197" s="10">
        <f t="shared" ref="IL197:IL205" si="29">60*1.12</f>
        <v>67.2</v>
      </c>
      <c r="IM197" s="10" t="s">
        <v>1</v>
      </c>
      <c r="IN197" s="10" t="s">
        <v>1</v>
      </c>
      <c r="IO197" s="10" t="s">
        <v>1319</v>
      </c>
      <c r="IP197" s="10">
        <v>15</v>
      </c>
      <c r="IQ197" s="10" t="s">
        <v>1</v>
      </c>
      <c r="IR197" s="10" t="s">
        <v>1</v>
      </c>
      <c r="IS197" t="s">
        <v>1</v>
      </c>
      <c r="IT197" t="s">
        <v>1</v>
      </c>
      <c r="IW197" t="s">
        <v>1</v>
      </c>
      <c r="IX197" t="s">
        <v>1</v>
      </c>
      <c r="IY197" t="s">
        <v>1</v>
      </c>
      <c r="IZ197" t="s">
        <v>1</v>
      </c>
      <c r="JA197" t="s">
        <v>1</v>
      </c>
      <c r="JB197" s="3" t="s">
        <v>1</v>
      </c>
      <c r="JC197" t="s">
        <v>1</v>
      </c>
      <c r="JD197" s="4" t="s">
        <v>1</v>
      </c>
      <c r="JE197" t="s">
        <v>810</v>
      </c>
      <c r="JF197">
        <v>100</v>
      </c>
      <c r="JG197" t="s">
        <v>859</v>
      </c>
      <c r="JH197" t="s">
        <v>1387</v>
      </c>
      <c r="JI197" t="s">
        <v>1</v>
      </c>
      <c r="JJ197" t="s">
        <v>1</v>
      </c>
      <c r="JK197" s="31" t="s">
        <v>1</v>
      </c>
      <c r="JL197" t="s">
        <v>947</v>
      </c>
      <c r="JM197" s="31" t="s">
        <v>1</v>
      </c>
      <c r="JN197" t="s">
        <v>1050</v>
      </c>
      <c r="JO197" t="s">
        <v>1</v>
      </c>
      <c r="JP197" t="s">
        <v>1051</v>
      </c>
      <c r="JQ197" t="s">
        <v>1</v>
      </c>
      <c r="JR197" t="s">
        <v>1066</v>
      </c>
      <c r="JS197" t="s">
        <v>996</v>
      </c>
      <c r="JT197" t="s">
        <v>995</v>
      </c>
      <c r="JU197" t="s">
        <v>1</v>
      </c>
      <c r="JV197" t="s">
        <v>1423</v>
      </c>
      <c r="JW197" t="s">
        <v>842</v>
      </c>
      <c r="JX197">
        <v>0</v>
      </c>
      <c r="JY197">
        <v>80</v>
      </c>
      <c r="JZ197" t="s">
        <v>800</v>
      </c>
      <c r="KA197" t="s">
        <v>206</v>
      </c>
      <c r="KB197" t="s">
        <v>738</v>
      </c>
      <c r="KC197" t="s">
        <v>1</v>
      </c>
      <c r="KD197" t="s">
        <v>1</v>
      </c>
      <c r="KE197" t="s">
        <v>1</v>
      </c>
      <c r="KF197" t="s">
        <v>1</v>
      </c>
      <c r="KG197" t="s">
        <v>1</v>
      </c>
      <c r="KH197" t="s">
        <v>1</v>
      </c>
      <c r="KI197" t="s">
        <v>1</v>
      </c>
      <c r="KJ197" t="s">
        <v>1</v>
      </c>
      <c r="KK197" t="s">
        <v>1</v>
      </c>
    </row>
    <row r="198" spans="1:297" x14ac:dyDescent="0.2">
      <c r="A198" s="3" t="s">
        <v>879</v>
      </c>
      <c r="B198" t="s">
        <v>705</v>
      </c>
      <c r="C198" t="s">
        <v>915</v>
      </c>
      <c r="D198" t="s">
        <v>690</v>
      </c>
      <c r="E198">
        <v>29</v>
      </c>
      <c r="F198" t="s">
        <v>213</v>
      </c>
      <c r="G198" t="s">
        <v>1</v>
      </c>
      <c r="H198" s="26" t="s">
        <v>1420</v>
      </c>
      <c r="I198" t="s">
        <v>1</v>
      </c>
      <c r="J198" t="s">
        <v>1</v>
      </c>
      <c r="K198" t="s">
        <v>1</v>
      </c>
      <c r="L198" t="s">
        <v>1</v>
      </c>
      <c r="M198" t="s">
        <v>1</v>
      </c>
      <c r="N198" t="s">
        <v>1</v>
      </c>
      <c r="O198" t="s">
        <v>1</v>
      </c>
      <c r="P198" t="s">
        <v>1</v>
      </c>
      <c r="Q198" t="s">
        <v>1</v>
      </c>
      <c r="R198" t="s">
        <v>1</v>
      </c>
      <c r="S198" t="s">
        <v>1</v>
      </c>
      <c r="T198" t="s">
        <v>1</v>
      </c>
      <c r="U198" t="s">
        <v>1</v>
      </c>
      <c r="V198" t="s">
        <v>1</v>
      </c>
      <c r="W198" t="s">
        <v>1</v>
      </c>
      <c r="X198" t="s">
        <v>1</v>
      </c>
      <c r="Y198" t="s">
        <v>1</v>
      </c>
      <c r="Z198" t="s">
        <v>1</v>
      </c>
      <c r="AA198" t="s">
        <v>1</v>
      </c>
      <c r="AB198" t="s">
        <v>1</v>
      </c>
      <c r="AC198" t="s">
        <v>1</v>
      </c>
      <c r="AD198" t="s">
        <v>1</v>
      </c>
      <c r="AE198" t="s">
        <v>1</v>
      </c>
      <c r="AF198" t="s">
        <v>1</v>
      </c>
      <c r="AG198" t="s">
        <v>1</v>
      </c>
      <c r="AH198" t="s">
        <v>1</v>
      </c>
      <c r="AI198" t="s">
        <v>1</v>
      </c>
      <c r="AJ198" t="s">
        <v>1</v>
      </c>
      <c r="AK198" t="s">
        <v>1</v>
      </c>
      <c r="AL198" t="s">
        <v>1</v>
      </c>
      <c r="AM198" t="s">
        <v>1</v>
      </c>
      <c r="AN198" s="3" t="s">
        <v>879</v>
      </c>
      <c r="AO198" t="str">
        <f t="shared" si="25"/>
        <v>180-20</v>
      </c>
      <c r="AP198">
        <f t="shared" si="26"/>
        <v>29</v>
      </c>
      <c r="AQ198">
        <f t="shared" si="27"/>
        <v>29</v>
      </c>
      <c r="AR198" t="s">
        <v>1355</v>
      </c>
      <c r="AS198" t="s">
        <v>1356</v>
      </c>
      <c r="AT198" t="s">
        <v>714</v>
      </c>
      <c r="AU198" t="s">
        <v>1</v>
      </c>
      <c r="AV198" t="s">
        <v>1</v>
      </c>
      <c r="AW198">
        <v>58.37</v>
      </c>
      <c r="AX198">
        <v>13.48</v>
      </c>
      <c r="AY198" t="s">
        <v>737</v>
      </c>
      <c r="AZ198">
        <f t="shared" si="19"/>
        <v>5.3999999999999999E-2</v>
      </c>
      <c r="BA198" s="3">
        <f t="shared" si="20"/>
        <v>6</v>
      </c>
      <c r="BB198" s="10" t="s">
        <v>1355</v>
      </c>
      <c r="BC198" t="s">
        <v>1461</v>
      </c>
      <c r="BD198" s="30">
        <v>38589</v>
      </c>
      <c r="BE198" s="3" t="s">
        <v>932</v>
      </c>
      <c r="BF198" s="30">
        <v>38933</v>
      </c>
      <c r="BG198" s="19" t="s">
        <v>934</v>
      </c>
      <c r="BH198" s="19" t="s">
        <v>934</v>
      </c>
      <c r="BI198" s="19" t="s">
        <v>945</v>
      </c>
      <c r="BJ198" s="19" t="s">
        <v>934</v>
      </c>
      <c r="BK198" s="19" t="s">
        <v>945</v>
      </c>
      <c r="BL198" s="19" t="s">
        <v>934</v>
      </c>
      <c r="BM198" s="19" t="s">
        <v>945</v>
      </c>
      <c r="BN198" s="19" t="s">
        <v>934</v>
      </c>
      <c r="BO198" s="19" t="s">
        <v>945</v>
      </c>
      <c r="BP198" s="19" t="s">
        <v>945</v>
      </c>
      <c r="BQ198" s="24" t="s">
        <v>945</v>
      </c>
      <c r="BR198" s="24" t="s">
        <v>945</v>
      </c>
      <c r="BS198" s="24" t="s">
        <v>934</v>
      </c>
      <c r="BT198" s="24" t="s">
        <v>934</v>
      </c>
      <c r="BU198" s="24" t="s">
        <v>934</v>
      </c>
      <c r="BV198" s="24" t="s">
        <v>934</v>
      </c>
      <c r="BW198" s="24" t="s">
        <v>934</v>
      </c>
      <c r="BX198" s="24" t="s">
        <v>934</v>
      </c>
      <c r="BY198" s="25" t="s">
        <v>945</v>
      </c>
      <c r="BZ198" t="s">
        <v>1391</v>
      </c>
      <c r="CA198" t="s">
        <v>940</v>
      </c>
      <c r="CB198" t="s">
        <v>1</v>
      </c>
      <c r="CC198" s="4">
        <v>2850</v>
      </c>
      <c r="CD198" s="4" t="s">
        <v>1</v>
      </c>
      <c r="CE198" s="4" t="s">
        <v>1</v>
      </c>
      <c r="CF198" s="5" t="s">
        <v>793</v>
      </c>
      <c r="CG198">
        <v>100</v>
      </c>
      <c r="CH198" t="s">
        <v>1</v>
      </c>
      <c r="CI198" s="28" t="s">
        <v>1</v>
      </c>
      <c r="CJ198" s="10" t="s">
        <v>1</v>
      </c>
      <c r="CK198" s="9" t="s">
        <v>1</v>
      </c>
      <c r="CL198" s="4" t="s">
        <v>1</v>
      </c>
      <c r="CM198" s="5" t="s">
        <v>1025</v>
      </c>
      <c r="CN198" s="4">
        <v>14</v>
      </c>
      <c r="CO198" s="22" t="s">
        <v>1029</v>
      </c>
      <c r="CP198" s="4" t="s">
        <v>1</v>
      </c>
      <c r="CQ198" s="4" t="s">
        <v>1</v>
      </c>
      <c r="CR198" s="4" t="s">
        <v>1</v>
      </c>
      <c r="CS198" s="4" t="s">
        <v>1</v>
      </c>
      <c r="CT198" s="4" t="s">
        <v>1</v>
      </c>
      <c r="CU198" s="4" t="s">
        <v>1</v>
      </c>
      <c r="CV198" t="s">
        <v>855</v>
      </c>
      <c r="CW198">
        <v>100</v>
      </c>
      <c r="CX198">
        <v>0</v>
      </c>
      <c r="CY198">
        <v>30</v>
      </c>
      <c r="CZ198" t="s">
        <v>1358</v>
      </c>
      <c r="DA198" t="s">
        <v>734</v>
      </c>
      <c r="DB198">
        <v>64</v>
      </c>
      <c r="DC198">
        <v>0</v>
      </c>
      <c r="DD198">
        <v>30</v>
      </c>
      <c r="DE198" t="s">
        <v>1358</v>
      </c>
      <c r="DF198" t="s">
        <v>735</v>
      </c>
      <c r="DG198">
        <v>22</v>
      </c>
      <c r="DH198">
        <v>0</v>
      </c>
      <c r="DI198">
        <v>30</v>
      </c>
      <c r="DJ198" t="s">
        <v>1358</v>
      </c>
      <c r="DK198" t="s">
        <v>736</v>
      </c>
      <c r="DL198">
        <v>14</v>
      </c>
      <c r="DM198">
        <v>0</v>
      </c>
      <c r="DN198">
        <v>30</v>
      </c>
      <c r="DO198" t="s">
        <v>1358</v>
      </c>
      <c r="DP198" t="s">
        <v>6</v>
      </c>
      <c r="DQ198" t="s">
        <v>813</v>
      </c>
      <c r="DR198">
        <v>6.4</v>
      </c>
      <c r="DS198">
        <v>0</v>
      </c>
      <c r="DT198">
        <v>30</v>
      </c>
      <c r="DU198" t="s">
        <v>1358</v>
      </c>
      <c r="DV198" t="s">
        <v>980</v>
      </c>
      <c r="DW198">
        <v>28</v>
      </c>
      <c r="DX198">
        <v>0</v>
      </c>
      <c r="DY198">
        <v>30</v>
      </c>
      <c r="DZ198" t="s">
        <v>1358</v>
      </c>
      <c r="EA198" t="s">
        <v>982</v>
      </c>
      <c r="EB198">
        <v>16</v>
      </c>
      <c r="EC198">
        <v>0</v>
      </c>
      <c r="ED198">
        <v>30</v>
      </c>
      <c r="EE198" t="s">
        <v>1358</v>
      </c>
      <c r="EG198" t="s">
        <v>981</v>
      </c>
      <c r="EH198">
        <f t="shared" si="21"/>
        <v>1.4</v>
      </c>
      <c r="EI198">
        <v>0</v>
      </c>
      <c r="EJ198">
        <v>30</v>
      </c>
      <c r="EK198" t="s">
        <v>1358</v>
      </c>
      <c r="EL198" t="s">
        <v>734</v>
      </c>
      <c r="EM198">
        <v>71</v>
      </c>
      <c r="EN198">
        <v>30</v>
      </c>
      <c r="EO198">
        <v>60</v>
      </c>
      <c r="EP198" t="s">
        <v>1358</v>
      </c>
      <c r="EQ198" t="s">
        <v>735</v>
      </c>
      <c r="ER198">
        <v>17</v>
      </c>
      <c r="ES198">
        <v>30</v>
      </c>
      <c r="ET198">
        <v>60</v>
      </c>
      <c r="EU198" t="s">
        <v>1358</v>
      </c>
      <c r="EV198" t="s">
        <v>736</v>
      </c>
      <c r="EW198">
        <v>12</v>
      </c>
      <c r="EX198">
        <v>30</v>
      </c>
      <c r="EY198">
        <v>60</v>
      </c>
      <c r="EZ198" t="s">
        <v>1358</v>
      </c>
      <c r="FA198" t="s">
        <v>980</v>
      </c>
      <c r="FB198">
        <v>25</v>
      </c>
      <c r="FC198">
        <v>30</v>
      </c>
      <c r="FD198">
        <v>60</v>
      </c>
      <c r="FE198" t="s">
        <v>1358</v>
      </c>
      <c r="FF198" t="s">
        <v>734</v>
      </c>
      <c r="FG198">
        <f t="shared" si="22"/>
        <v>67.34</v>
      </c>
      <c r="FH198">
        <v>60</v>
      </c>
      <c r="FI198">
        <v>90</v>
      </c>
      <c r="FJ198" t="s">
        <v>1358</v>
      </c>
      <c r="FK198" t="s">
        <v>735</v>
      </c>
      <c r="FL198">
        <f t="shared" si="23"/>
        <v>20.100000000000001</v>
      </c>
      <c r="FM198">
        <v>60</v>
      </c>
      <c r="FN198">
        <v>90</v>
      </c>
      <c r="FO198" t="s">
        <v>1358</v>
      </c>
      <c r="FP198" t="s">
        <v>736</v>
      </c>
      <c r="FQ198">
        <f t="shared" si="24"/>
        <v>12.56</v>
      </c>
      <c r="FR198">
        <v>60</v>
      </c>
      <c r="FS198">
        <v>90</v>
      </c>
      <c r="FT198" t="s">
        <v>1358</v>
      </c>
      <c r="FU198" t="s">
        <v>980</v>
      </c>
      <c r="FV198">
        <v>25</v>
      </c>
      <c r="FW198">
        <v>60</v>
      </c>
      <c r="FX198">
        <v>90</v>
      </c>
      <c r="FY198" t="s">
        <v>1358</v>
      </c>
      <c r="FZ198" t="s">
        <v>957</v>
      </c>
      <c r="GA198" t="s">
        <v>958</v>
      </c>
      <c r="GB198" t="s">
        <v>959</v>
      </c>
      <c r="GC198" t="s">
        <v>1</v>
      </c>
      <c r="GD198" t="s">
        <v>1</v>
      </c>
      <c r="GE198" s="26" t="s">
        <v>1358</v>
      </c>
      <c r="GF198" t="s">
        <v>957</v>
      </c>
      <c r="GG198" t="s">
        <v>961</v>
      </c>
      <c r="GH198" t="s">
        <v>960</v>
      </c>
      <c r="GI198" s="20">
        <v>1961</v>
      </c>
      <c r="GJ198" s="20">
        <v>1990</v>
      </c>
      <c r="GK198" s="26" t="s">
        <v>1358</v>
      </c>
      <c r="GL198" t="s">
        <v>953</v>
      </c>
      <c r="GM198" t="s">
        <v>955</v>
      </c>
      <c r="GN198" t="s">
        <v>954</v>
      </c>
      <c r="GO198" s="5" t="s">
        <v>956</v>
      </c>
      <c r="GP198" s="5" t="s">
        <v>1382</v>
      </c>
      <c r="GQ198" s="5" t="s">
        <v>962</v>
      </c>
      <c r="GR198" s="5" t="s">
        <v>963</v>
      </c>
      <c r="GS198" s="5" t="s">
        <v>959</v>
      </c>
      <c r="GT198" s="26" t="s">
        <v>1358</v>
      </c>
      <c r="GU198" s="5" t="s">
        <v>962</v>
      </c>
      <c r="GV198" s="5" t="s">
        <v>964</v>
      </c>
      <c r="GW198" s="5" t="s">
        <v>960</v>
      </c>
      <c r="GX198" s="20">
        <v>1961</v>
      </c>
      <c r="GY198" s="20">
        <v>1990</v>
      </c>
      <c r="GZ198" s="26" t="s">
        <v>1358</v>
      </c>
      <c r="HA198" s="5" t="s">
        <v>1</v>
      </c>
      <c r="HB198" s="5" t="s">
        <v>1</v>
      </c>
      <c r="HC198" s="5" t="s">
        <v>1</v>
      </c>
      <c r="HD198" s="5" t="s">
        <v>1</v>
      </c>
      <c r="HE198" t="s">
        <v>1</v>
      </c>
      <c r="HF198" s="5" t="s">
        <v>1</v>
      </c>
      <c r="HG198" s="5" t="s">
        <v>1</v>
      </c>
      <c r="HH198" s="5" t="s">
        <v>1</v>
      </c>
      <c r="HI198" s="5" t="s">
        <v>1</v>
      </c>
      <c r="HJ198" t="s">
        <v>1</v>
      </c>
      <c r="HK198" t="s">
        <v>1</v>
      </c>
      <c r="HL198" t="s">
        <v>1</v>
      </c>
      <c r="HM198" t="s">
        <v>1</v>
      </c>
      <c r="HN198" t="s">
        <v>1</v>
      </c>
      <c r="HO198" t="s">
        <v>1</v>
      </c>
      <c r="HP198" t="s">
        <v>1</v>
      </c>
      <c r="HQ198" t="s">
        <v>983</v>
      </c>
      <c r="HR198" t="s">
        <v>1041</v>
      </c>
      <c r="HS198" s="5" t="s">
        <v>1049</v>
      </c>
      <c r="HT198" s="28" t="s">
        <v>1425</v>
      </c>
      <c r="HU198" s="5" t="s">
        <v>842</v>
      </c>
      <c r="HV198" s="5" t="s">
        <v>1358</v>
      </c>
      <c r="HW198" t="s">
        <v>937</v>
      </c>
      <c r="HX198" s="3" t="s">
        <v>1</v>
      </c>
      <c r="HY198" t="s">
        <v>1</v>
      </c>
      <c r="HZ198" t="s">
        <v>1</v>
      </c>
      <c r="IA198" t="s">
        <v>1</v>
      </c>
      <c r="IB198" s="10" t="s">
        <v>1</v>
      </c>
      <c r="IC198" s="10" t="s">
        <v>1</v>
      </c>
      <c r="ID198" s="10" t="s">
        <v>1</v>
      </c>
      <c r="IE198" s="10" t="s">
        <v>1</v>
      </c>
      <c r="IF198" s="10" t="s">
        <v>1</v>
      </c>
      <c r="IG198" t="s">
        <v>1310</v>
      </c>
      <c r="IH198" s="10">
        <f t="shared" si="28"/>
        <v>114.5</v>
      </c>
      <c r="II198" s="10" t="s">
        <v>1</v>
      </c>
      <c r="IJ198" s="10" t="s">
        <v>1</v>
      </c>
      <c r="IK198" t="s">
        <v>1311</v>
      </c>
      <c r="IL198" s="10">
        <f t="shared" si="29"/>
        <v>67.2</v>
      </c>
      <c r="IM198" s="10" t="s">
        <v>1</v>
      </c>
      <c r="IN198" s="10" t="s">
        <v>1</v>
      </c>
      <c r="IO198" s="10" t="s">
        <v>1319</v>
      </c>
      <c r="IP198" s="10">
        <v>15</v>
      </c>
      <c r="IQ198" s="10" t="s">
        <v>1</v>
      </c>
      <c r="IR198" s="10" t="s">
        <v>1</v>
      </c>
      <c r="IS198" t="s">
        <v>1</v>
      </c>
      <c r="IT198" t="s">
        <v>1</v>
      </c>
      <c r="IW198" t="s">
        <v>1</v>
      </c>
      <c r="IX198" t="s">
        <v>1</v>
      </c>
      <c r="IY198" t="s">
        <v>1</v>
      </c>
      <c r="IZ198" t="s">
        <v>1</v>
      </c>
      <c r="JA198" t="s">
        <v>1</v>
      </c>
      <c r="JB198" s="3" t="s">
        <v>1</v>
      </c>
      <c r="JC198" t="s">
        <v>1</v>
      </c>
      <c r="JD198" s="4" t="s">
        <v>1</v>
      </c>
      <c r="JE198" t="s">
        <v>810</v>
      </c>
      <c r="JF198">
        <v>100</v>
      </c>
      <c r="JG198" t="s">
        <v>859</v>
      </c>
      <c r="JH198" t="s">
        <v>1387</v>
      </c>
      <c r="JI198" t="s">
        <v>1</v>
      </c>
      <c r="JJ198" t="s">
        <v>1</v>
      </c>
      <c r="JK198" s="31" t="s">
        <v>1</v>
      </c>
      <c r="JL198" t="s">
        <v>947</v>
      </c>
      <c r="JM198" s="31" t="s">
        <v>1</v>
      </c>
      <c r="JN198" t="s">
        <v>1050</v>
      </c>
      <c r="JO198" t="s">
        <v>1</v>
      </c>
      <c r="JP198" t="s">
        <v>1051</v>
      </c>
      <c r="JQ198" t="s">
        <v>1</v>
      </c>
      <c r="JR198" t="s">
        <v>1066</v>
      </c>
      <c r="JS198" t="s">
        <v>997</v>
      </c>
      <c r="JT198" t="s">
        <v>995</v>
      </c>
      <c r="JU198" t="s">
        <v>1</v>
      </c>
      <c r="JV198" t="s">
        <v>1423</v>
      </c>
      <c r="JW198" t="s">
        <v>842</v>
      </c>
      <c r="JX198">
        <v>0</v>
      </c>
      <c r="JY198">
        <v>80</v>
      </c>
      <c r="JZ198" t="s">
        <v>800</v>
      </c>
      <c r="KA198" t="s">
        <v>206</v>
      </c>
      <c r="KB198" t="s">
        <v>738</v>
      </c>
      <c r="KC198" t="s">
        <v>1</v>
      </c>
      <c r="KD198" t="s">
        <v>1</v>
      </c>
      <c r="KE198" t="s">
        <v>1</v>
      </c>
      <c r="KF198" t="s">
        <v>1</v>
      </c>
      <c r="KG198" t="s">
        <v>1</v>
      </c>
      <c r="KH198" t="s">
        <v>1</v>
      </c>
      <c r="KI198" t="s">
        <v>1</v>
      </c>
      <c r="KJ198" t="s">
        <v>1</v>
      </c>
      <c r="KK198" t="s">
        <v>1</v>
      </c>
    </row>
    <row r="199" spans="1:297" x14ac:dyDescent="0.2">
      <c r="A199" s="3" t="s">
        <v>880</v>
      </c>
      <c r="B199" t="s">
        <v>705</v>
      </c>
      <c r="C199" t="s">
        <v>916</v>
      </c>
      <c r="D199" t="s">
        <v>690</v>
      </c>
      <c r="E199">
        <v>29</v>
      </c>
      <c r="F199" t="s">
        <v>213</v>
      </c>
      <c r="G199" t="s">
        <v>1</v>
      </c>
      <c r="H199" s="26" t="s">
        <v>1420</v>
      </c>
      <c r="I199" t="s">
        <v>1</v>
      </c>
      <c r="J199" t="s">
        <v>1</v>
      </c>
      <c r="K199" t="s">
        <v>1</v>
      </c>
      <c r="L199" t="s">
        <v>1</v>
      </c>
      <c r="M199" t="s">
        <v>1</v>
      </c>
      <c r="N199" t="s">
        <v>1</v>
      </c>
      <c r="O199" t="s">
        <v>1</v>
      </c>
      <c r="P199" t="s">
        <v>1</v>
      </c>
      <c r="Q199" t="s">
        <v>1</v>
      </c>
      <c r="R199" t="s">
        <v>1</v>
      </c>
      <c r="S199" t="s">
        <v>1</v>
      </c>
      <c r="T199" t="s">
        <v>1</v>
      </c>
      <c r="U199" t="s">
        <v>1</v>
      </c>
      <c r="V199" t="s">
        <v>1</v>
      </c>
      <c r="W199" t="s">
        <v>1</v>
      </c>
      <c r="X199" t="s">
        <v>1</v>
      </c>
      <c r="Y199" t="s">
        <v>1</v>
      </c>
      <c r="Z199" t="s">
        <v>1</v>
      </c>
      <c r="AA199" t="s">
        <v>1</v>
      </c>
      <c r="AB199" t="s">
        <v>1</v>
      </c>
      <c r="AC199" t="s">
        <v>1</v>
      </c>
      <c r="AD199" t="s">
        <v>1</v>
      </c>
      <c r="AE199" t="s">
        <v>1</v>
      </c>
      <c r="AF199" t="s">
        <v>1</v>
      </c>
      <c r="AG199" t="s">
        <v>1</v>
      </c>
      <c r="AH199" t="s">
        <v>1</v>
      </c>
      <c r="AI199" t="s">
        <v>1</v>
      </c>
      <c r="AJ199" t="s">
        <v>1</v>
      </c>
      <c r="AK199" t="s">
        <v>1</v>
      </c>
      <c r="AL199" t="s">
        <v>1</v>
      </c>
      <c r="AM199" t="s">
        <v>1</v>
      </c>
      <c r="AN199" s="3" t="s">
        <v>880</v>
      </c>
      <c r="AO199" t="str">
        <f t="shared" si="25"/>
        <v>180-21</v>
      </c>
      <c r="AP199">
        <f t="shared" si="26"/>
        <v>29</v>
      </c>
      <c r="AQ199">
        <f t="shared" si="27"/>
        <v>29</v>
      </c>
      <c r="AR199" t="s">
        <v>1355</v>
      </c>
      <c r="AS199" t="s">
        <v>1356</v>
      </c>
      <c r="AT199" t="s">
        <v>714</v>
      </c>
      <c r="AU199" t="s">
        <v>1</v>
      </c>
      <c r="AV199" t="s">
        <v>1</v>
      </c>
      <c r="AW199">
        <v>58.37</v>
      </c>
      <c r="AX199">
        <v>13.48</v>
      </c>
      <c r="AY199" t="s">
        <v>737</v>
      </c>
      <c r="AZ199">
        <f t="shared" si="19"/>
        <v>5.3999999999999999E-2</v>
      </c>
      <c r="BA199" s="3">
        <f t="shared" si="20"/>
        <v>6</v>
      </c>
      <c r="BB199" s="10" t="s">
        <v>1355</v>
      </c>
      <c r="BC199" t="s">
        <v>1461</v>
      </c>
      <c r="BD199" s="30">
        <v>38589</v>
      </c>
      <c r="BE199" s="3" t="s">
        <v>932</v>
      </c>
      <c r="BF199" s="30">
        <v>38933</v>
      </c>
      <c r="BG199" s="19" t="s">
        <v>934</v>
      </c>
      <c r="BH199" s="19" t="s">
        <v>934</v>
      </c>
      <c r="BI199" s="19" t="s">
        <v>945</v>
      </c>
      <c r="BJ199" s="19" t="s">
        <v>934</v>
      </c>
      <c r="BK199" s="19" t="s">
        <v>945</v>
      </c>
      <c r="BL199" s="19" t="s">
        <v>934</v>
      </c>
      <c r="BM199" s="19" t="s">
        <v>945</v>
      </c>
      <c r="BN199" s="19" t="s">
        <v>934</v>
      </c>
      <c r="BO199" s="19" t="s">
        <v>945</v>
      </c>
      <c r="BP199" s="19" t="s">
        <v>945</v>
      </c>
      <c r="BQ199" s="24" t="s">
        <v>945</v>
      </c>
      <c r="BR199" s="24" t="s">
        <v>945</v>
      </c>
      <c r="BS199" s="24" t="s">
        <v>934</v>
      </c>
      <c r="BT199" s="24" t="s">
        <v>934</v>
      </c>
      <c r="BU199" s="24" t="s">
        <v>934</v>
      </c>
      <c r="BV199" s="24" t="s">
        <v>934</v>
      </c>
      <c r="BW199" s="24" t="s">
        <v>934</v>
      </c>
      <c r="BX199" s="24" t="s">
        <v>934</v>
      </c>
      <c r="BY199" s="25" t="s">
        <v>945</v>
      </c>
      <c r="BZ199" t="s">
        <v>1391</v>
      </c>
      <c r="CA199" t="s">
        <v>940</v>
      </c>
      <c r="CB199" t="s">
        <v>1</v>
      </c>
      <c r="CC199" s="4">
        <v>2850</v>
      </c>
      <c r="CD199" s="4" t="s">
        <v>1</v>
      </c>
      <c r="CE199" s="4" t="s">
        <v>1</v>
      </c>
      <c r="CF199" s="5" t="s">
        <v>793</v>
      </c>
      <c r="CG199">
        <v>100</v>
      </c>
      <c r="CH199" t="s">
        <v>1</v>
      </c>
      <c r="CI199" s="28" t="s">
        <v>1</v>
      </c>
      <c r="CJ199" s="10" t="s">
        <v>1</v>
      </c>
      <c r="CK199" s="9" t="s">
        <v>1</v>
      </c>
      <c r="CL199" s="4" t="s">
        <v>1</v>
      </c>
      <c r="CM199" s="5" t="s">
        <v>1025</v>
      </c>
      <c r="CN199" s="4">
        <v>14</v>
      </c>
      <c r="CO199" s="22" t="s">
        <v>1029</v>
      </c>
      <c r="CP199" s="4" t="s">
        <v>1</v>
      </c>
      <c r="CQ199" s="4" t="s">
        <v>1</v>
      </c>
      <c r="CR199" s="4" t="s">
        <v>1</v>
      </c>
      <c r="CS199" s="4" t="s">
        <v>1</v>
      </c>
      <c r="CT199" s="4" t="s">
        <v>1</v>
      </c>
      <c r="CU199" s="4" t="s">
        <v>1</v>
      </c>
      <c r="CV199" t="s">
        <v>855</v>
      </c>
      <c r="CW199">
        <v>100</v>
      </c>
      <c r="CX199">
        <v>0</v>
      </c>
      <c r="CY199">
        <v>30</v>
      </c>
      <c r="CZ199" t="s">
        <v>1358</v>
      </c>
      <c r="DA199" t="s">
        <v>734</v>
      </c>
      <c r="DB199">
        <v>64</v>
      </c>
      <c r="DC199">
        <v>0</v>
      </c>
      <c r="DD199">
        <v>30</v>
      </c>
      <c r="DE199" t="s">
        <v>1358</v>
      </c>
      <c r="DF199" t="s">
        <v>735</v>
      </c>
      <c r="DG199">
        <v>22</v>
      </c>
      <c r="DH199">
        <v>0</v>
      </c>
      <c r="DI199">
        <v>30</v>
      </c>
      <c r="DJ199" t="s">
        <v>1358</v>
      </c>
      <c r="DK199" t="s">
        <v>736</v>
      </c>
      <c r="DL199">
        <v>14</v>
      </c>
      <c r="DM199">
        <v>0</v>
      </c>
      <c r="DN199">
        <v>30</v>
      </c>
      <c r="DO199" t="s">
        <v>1358</v>
      </c>
      <c r="DP199" t="s">
        <v>6</v>
      </c>
      <c r="DQ199" t="s">
        <v>813</v>
      </c>
      <c r="DR199">
        <v>6.4</v>
      </c>
      <c r="DS199">
        <v>0</v>
      </c>
      <c r="DT199">
        <v>30</v>
      </c>
      <c r="DU199" t="s">
        <v>1358</v>
      </c>
      <c r="DV199" t="s">
        <v>980</v>
      </c>
      <c r="DW199">
        <v>28</v>
      </c>
      <c r="DX199">
        <v>0</v>
      </c>
      <c r="DY199">
        <v>30</v>
      </c>
      <c r="DZ199" t="s">
        <v>1358</v>
      </c>
      <c r="EA199" t="s">
        <v>982</v>
      </c>
      <c r="EB199">
        <v>16</v>
      </c>
      <c r="EC199">
        <v>0</v>
      </c>
      <c r="ED199">
        <v>30</v>
      </c>
      <c r="EE199" t="s">
        <v>1358</v>
      </c>
      <c r="EG199" t="s">
        <v>981</v>
      </c>
      <c r="EH199">
        <f t="shared" si="21"/>
        <v>1.4</v>
      </c>
      <c r="EI199">
        <v>0</v>
      </c>
      <c r="EJ199">
        <v>30</v>
      </c>
      <c r="EK199" t="s">
        <v>1358</v>
      </c>
      <c r="EL199" t="s">
        <v>734</v>
      </c>
      <c r="EM199">
        <v>71</v>
      </c>
      <c r="EN199">
        <v>30</v>
      </c>
      <c r="EO199">
        <v>60</v>
      </c>
      <c r="EP199" t="s">
        <v>1358</v>
      </c>
      <c r="EQ199" t="s">
        <v>735</v>
      </c>
      <c r="ER199">
        <v>17</v>
      </c>
      <c r="ES199">
        <v>30</v>
      </c>
      <c r="ET199">
        <v>60</v>
      </c>
      <c r="EU199" t="s">
        <v>1358</v>
      </c>
      <c r="EV199" t="s">
        <v>736</v>
      </c>
      <c r="EW199">
        <v>12</v>
      </c>
      <c r="EX199">
        <v>30</v>
      </c>
      <c r="EY199">
        <v>60</v>
      </c>
      <c r="EZ199" t="s">
        <v>1358</v>
      </c>
      <c r="FA199" t="s">
        <v>980</v>
      </c>
      <c r="FB199">
        <v>25</v>
      </c>
      <c r="FC199">
        <v>30</v>
      </c>
      <c r="FD199">
        <v>60</v>
      </c>
      <c r="FE199" t="s">
        <v>1358</v>
      </c>
      <c r="FF199" t="s">
        <v>734</v>
      </c>
      <c r="FG199">
        <f t="shared" si="22"/>
        <v>67.34</v>
      </c>
      <c r="FH199">
        <v>60</v>
      </c>
      <c r="FI199">
        <v>90</v>
      </c>
      <c r="FJ199" t="s">
        <v>1358</v>
      </c>
      <c r="FK199" t="s">
        <v>735</v>
      </c>
      <c r="FL199">
        <f t="shared" si="23"/>
        <v>20.100000000000001</v>
      </c>
      <c r="FM199">
        <v>60</v>
      </c>
      <c r="FN199">
        <v>90</v>
      </c>
      <c r="FO199" t="s">
        <v>1358</v>
      </c>
      <c r="FP199" t="s">
        <v>736</v>
      </c>
      <c r="FQ199">
        <f t="shared" si="24"/>
        <v>12.56</v>
      </c>
      <c r="FR199">
        <v>60</v>
      </c>
      <c r="FS199">
        <v>90</v>
      </c>
      <c r="FT199" t="s">
        <v>1358</v>
      </c>
      <c r="FU199" t="s">
        <v>980</v>
      </c>
      <c r="FV199">
        <v>25</v>
      </c>
      <c r="FW199">
        <v>60</v>
      </c>
      <c r="FX199">
        <v>90</v>
      </c>
      <c r="FY199" t="s">
        <v>1358</v>
      </c>
      <c r="FZ199" t="s">
        <v>957</v>
      </c>
      <c r="GA199" t="s">
        <v>958</v>
      </c>
      <c r="GB199" t="s">
        <v>959</v>
      </c>
      <c r="GC199" t="s">
        <v>1</v>
      </c>
      <c r="GD199" t="s">
        <v>1</v>
      </c>
      <c r="GE199" s="26" t="s">
        <v>1358</v>
      </c>
      <c r="GF199" t="s">
        <v>957</v>
      </c>
      <c r="GG199" t="s">
        <v>961</v>
      </c>
      <c r="GH199" t="s">
        <v>960</v>
      </c>
      <c r="GI199" s="20">
        <v>1961</v>
      </c>
      <c r="GJ199" s="20">
        <v>1990</v>
      </c>
      <c r="GK199" s="26" t="s">
        <v>1358</v>
      </c>
      <c r="GL199" t="s">
        <v>953</v>
      </c>
      <c r="GM199" t="s">
        <v>955</v>
      </c>
      <c r="GN199" t="s">
        <v>954</v>
      </c>
      <c r="GO199" s="5" t="s">
        <v>956</v>
      </c>
      <c r="GP199" s="5" t="s">
        <v>1382</v>
      </c>
      <c r="GQ199" s="5" t="s">
        <v>962</v>
      </c>
      <c r="GR199" s="5" t="s">
        <v>963</v>
      </c>
      <c r="GS199" s="5" t="s">
        <v>959</v>
      </c>
      <c r="GT199" s="26" t="s">
        <v>1358</v>
      </c>
      <c r="GU199" s="5" t="s">
        <v>962</v>
      </c>
      <c r="GV199" s="5" t="s">
        <v>964</v>
      </c>
      <c r="GW199" s="5" t="s">
        <v>960</v>
      </c>
      <c r="GX199" s="20">
        <v>1961</v>
      </c>
      <c r="GY199" s="20">
        <v>1990</v>
      </c>
      <c r="GZ199" s="26" t="s">
        <v>1358</v>
      </c>
      <c r="HA199" s="5" t="s">
        <v>1</v>
      </c>
      <c r="HB199" s="5" t="s">
        <v>1</v>
      </c>
      <c r="HC199" s="5" t="s">
        <v>1</v>
      </c>
      <c r="HD199" s="5" t="s">
        <v>1</v>
      </c>
      <c r="HE199" t="s">
        <v>1</v>
      </c>
      <c r="HF199" s="5" t="s">
        <v>1</v>
      </c>
      <c r="HG199" s="5" t="s">
        <v>1</v>
      </c>
      <c r="HH199" s="5" t="s">
        <v>1</v>
      </c>
      <c r="HI199" s="5" t="s">
        <v>1</v>
      </c>
      <c r="HJ199" t="s">
        <v>1</v>
      </c>
      <c r="HK199" t="s">
        <v>1</v>
      </c>
      <c r="HL199" t="s">
        <v>1</v>
      </c>
      <c r="HM199" t="s">
        <v>1</v>
      </c>
      <c r="HN199" t="s">
        <v>1</v>
      </c>
      <c r="HO199" t="s">
        <v>1</v>
      </c>
      <c r="HP199" t="s">
        <v>1</v>
      </c>
      <c r="HQ199" t="s">
        <v>983</v>
      </c>
      <c r="HR199" t="s">
        <v>1042</v>
      </c>
      <c r="HS199" s="5" t="s">
        <v>1049</v>
      </c>
      <c r="HT199" s="28" t="s">
        <v>1425</v>
      </c>
      <c r="HU199" s="5" t="s">
        <v>842</v>
      </c>
      <c r="HV199" s="5" t="s">
        <v>1358</v>
      </c>
      <c r="HW199" t="s">
        <v>937</v>
      </c>
      <c r="HX199" s="3" t="s">
        <v>1</v>
      </c>
      <c r="HY199" t="s">
        <v>1</v>
      </c>
      <c r="HZ199" t="s">
        <v>1</v>
      </c>
      <c r="IA199" t="s">
        <v>1</v>
      </c>
      <c r="IB199" s="10" t="s">
        <v>1</v>
      </c>
      <c r="IC199" s="10" t="s">
        <v>1</v>
      </c>
      <c r="ID199" s="10" t="s">
        <v>1</v>
      </c>
      <c r="IE199" s="10" t="s">
        <v>1</v>
      </c>
      <c r="IF199" s="10" t="s">
        <v>1</v>
      </c>
      <c r="IG199" t="s">
        <v>1310</v>
      </c>
      <c r="IH199" s="10">
        <f t="shared" si="28"/>
        <v>114.5</v>
      </c>
      <c r="II199" s="10" t="s">
        <v>1</v>
      </c>
      <c r="IJ199" s="10" t="s">
        <v>1</v>
      </c>
      <c r="IK199" t="s">
        <v>1311</v>
      </c>
      <c r="IL199" s="10">
        <f t="shared" si="29"/>
        <v>67.2</v>
      </c>
      <c r="IM199" s="10" t="s">
        <v>1</v>
      </c>
      <c r="IN199" s="10" t="s">
        <v>1</v>
      </c>
      <c r="IO199" s="10" t="s">
        <v>1319</v>
      </c>
      <c r="IP199" s="10">
        <v>15</v>
      </c>
      <c r="IQ199" s="10" t="s">
        <v>1</v>
      </c>
      <c r="IR199" s="10" t="s">
        <v>1</v>
      </c>
      <c r="IS199" t="s">
        <v>1</v>
      </c>
      <c r="IT199" t="s">
        <v>1</v>
      </c>
      <c r="IW199" t="s">
        <v>1</v>
      </c>
      <c r="IX199" t="s">
        <v>1</v>
      </c>
      <c r="IY199" t="s">
        <v>1</v>
      </c>
      <c r="IZ199" t="s">
        <v>1</v>
      </c>
      <c r="JA199" t="s">
        <v>1</v>
      </c>
      <c r="JB199" s="3" t="s">
        <v>1</v>
      </c>
      <c r="JC199" t="s">
        <v>1</v>
      </c>
      <c r="JD199" s="4" t="s">
        <v>1</v>
      </c>
      <c r="JE199" t="s">
        <v>810</v>
      </c>
      <c r="JF199">
        <v>100</v>
      </c>
      <c r="JG199" t="s">
        <v>859</v>
      </c>
      <c r="JH199" t="s">
        <v>1387</v>
      </c>
      <c r="JI199" t="s">
        <v>1</v>
      </c>
      <c r="JJ199" t="s">
        <v>1</v>
      </c>
      <c r="JK199" s="31" t="s">
        <v>1</v>
      </c>
      <c r="JL199" t="s">
        <v>947</v>
      </c>
      <c r="JM199" s="31" t="s">
        <v>1</v>
      </c>
      <c r="JN199" t="s">
        <v>1050</v>
      </c>
      <c r="JO199" s="30" t="s">
        <v>944</v>
      </c>
      <c r="JP199" t="s">
        <v>1051</v>
      </c>
      <c r="JQ199" t="s">
        <v>1</v>
      </c>
      <c r="JR199" t="s">
        <v>1066</v>
      </c>
      <c r="JS199" t="s">
        <v>998</v>
      </c>
      <c r="JT199" t="s">
        <v>995</v>
      </c>
      <c r="JU199" t="s">
        <v>1</v>
      </c>
      <c r="JV199" t="s">
        <v>1423</v>
      </c>
      <c r="JW199" t="s">
        <v>842</v>
      </c>
      <c r="JX199">
        <v>0</v>
      </c>
      <c r="JY199">
        <v>80</v>
      </c>
      <c r="JZ199" t="s">
        <v>800</v>
      </c>
      <c r="KA199" t="s">
        <v>206</v>
      </c>
      <c r="KB199" t="s">
        <v>738</v>
      </c>
      <c r="KC199" t="s">
        <v>1</v>
      </c>
      <c r="KD199" t="s">
        <v>1</v>
      </c>
      <c r="KE199" t="s">
        <v>1</v>
      </c>
      <c r="KF199" t="s">
        <v>1</v>
      </c>
      <c r="KG199" t="s">
        <v>1</v>
      </c>
      <c r="KH199" t="s">
        <v>1</v>
      </c>
      <c r="KI199" t="s">
        <v>1</v>
      </c>
      <c r="KJ199" t="s">
        <v>1</v>
      </c>
      <c r="KK199" t="s">
        <v>1</v>
      </c>
    </row>
    <row r="200" spans="1:297" x14ac:dyDescent="0.2">
      <c r="A200" s="3" t="s">
        <v>881</v>
      </c>
      <c r="B200" t="s">
        <v>705</v>
      </c>
      <c r="C200" t="s">
        <v>917</v>
      </c>
      <c r="D200" t="s">
        <v>690</v>
      </c>
      <c r="E200">
        <v>29</v>
      </c>
      <c r="F200" t="s">
        <v>213</v>
      </c>
      <c r="G200" t="s">
        <v>1</v>
      </c>
      <c r="H200" s="26" t="s">
        <v>1420</v>
      </c>
      <c r="I200" t="s">
        <v>1</v>
      </c>
      <c r="J200" t="s">
        <v>1</v>
      </c>
      <c r="K200" t="s">
        <v>1</v>
      </c>
      <c r="L200" t="s">
        <v>1</v>
      </c>
      <c r="M200" t="s">
        <v>1</v>
      </c>
      <c r="N200" t="s">
        <v>1</v>
      </c>
      <c r="O200" t="s">
        <v>1</v>
      </c>
      <c r="P200" t="s">
        <v>1</v>
      </c>
      <c r="Q200" t="s">
        <v>1</v>
      </c>
      <c r="R200" t="s">
        <v>1</v>
      </c>
      <c r="S200" t="s">
        <v>1</v>
      </c>
      <c r="T200" t="s">
        <v>1</v>
      </c>
      <c r="U200" t="s">
        <v>1</v>
      </c>
      <c r="V200" t="s">
        <v>1</v>
      </c>
      <c r="W200" t="s">
        <v>1</v>
      </c>
      <c r="X200" t="s">
        <v>1</v>
      </c>
      <c r="Y200" t="s">
        <v>1</v>
      </c>
      <c r="Z200" t="s">
        <v>1</v>
      </c>
      <c r="AA200" t="s">
        <v>1</v>
      </c>
      <c r="AB200" t="s">
        <v>1</v>
      </c>
      <c r="AC200" t="s">
        <v>1</v>
      </c>
      <c r="AD200" t="s">
        <v>1</v>
      </c>
      <c r="AE200" t="s">
        <v>1</v>
      </c>
      <c r="AF200" t="s">
        <v>1</v>
      </c>
      <c r="AG200" t="s">
        <v>1</v>
      </c>
      <c r="AH200" t="s">
        <v>1</v>
      </c>
      <c r="AI200" t="s">
        <v>1</v>
      </c>
      <c r="AJ200" t="s">
        <v>1</v>
      </c>
      <c r="AK200" t="s">
        <v>1</v>
      </c>
      <c r="AL200" t="s">
        <v>1</v>
      </c>
      <c r="AM200" t="s">
        <v>1</v>
      </c>
      <c r="AN200" s="3" t="s">
        <v>881</v>
      </c>
      <c r="AO200" t="str">
        <f t="shared" si="25"/>
        <v>180-22</v>
      </c>
      <c r="AP200">
        <f t="shared" si="26"/>
        <v>29</v>
      </c>
      <c r="AQ200">
        <f t="shared" si="27"/>
        <v>29</v>
      </c>
      <c r="AR200" t="s">
        <v>1355</v>
      </c>
      <c r="AS200" t="s">
        <v>1356</v>
      </c>
      <c r="AT200" t="s">
        <v>714</v>
      </c>
      <c r="AU200" t="s">
        <v>1</v>
      </c>
      <c r="AV200" t="s">
        <v>1</v>
      </c>
      <c r="AW200">
        <v>58.37</v>
      </c>
      <c r="AX200">
        <v>13.48</v>
      </c>
      <c r="AY200" t="s">
        <v>737</v>
      </c>
      <c r="AZ200">
        <f t="shared" si="19"/>
        <v>5.3999999999999999E-2</v>
      </c>
      <c r="BA200" s="3">
        <f t="shared" si="20"/>
        <v>6</v>
      </c>
      <c r="BB200" s="10" t="s">
        <v>1355</v>
      </c>
      <c r="BC200" t="s">
        <v>1461</v>
      </c>
      <c r="BD200" s="30">
        <v>38589</v>
      </c>
      <c r="BE200" s="3" t="s">
        <v>932</v>
      </c>
      <c r="BF200" s="30">
        <v>38933</v>
      </c>
      <c r="BG200" s="19" t="s">
        <v>934</v>
      </c>
      <c r="BH200" s="19" t="s">
        <v>934</v>
      </c>
      <c r="BI200" s="19" t="s">
        <v>945</v>
      </c>
      <c r="BJ200" s="19" t="s">
        <v>934</v>
      </c>
      <c r="BK200" s="19" t="s">
        <v>945</v>
      </c>
      <c r="BL200" s="19" t="s">
        <v>945</v>
      </c>
      <c r="BM200" s="19" t="s">
        <v>945</v>
      </c>
      <c r="BN200" s="19" t="s">
        <v>934</v>
      </c>
      <c r="BO200" s="19" t="s">
        <v>934</v>
      </c>
      <c r="BP200" s="19" t="s">
        <v>945</v>
      </c>
      <c r="BQ200" s="24" t="s">
        <v>945</v>
      </c>
      <c r="BR200" s="24" t="s">
        <v>945</v>
      </c>
      <c r="BS200" s="24" t="s">
        <v>934</v>
      </c>
      <c r="BT200" s="24" t="s">
        <v>934</v>
      </c>
      <c r="BU200" s="24" t="s">
        <v>934</v>
      </c>
      <c r="BV200" s="24" t="s">
        <v>934</v>
      </c>
      <c r="BW200" s="24" t="s">
        <v>934</v>
      </c>
      <c r="BX200" s="24" t="s">
        <v>934</v>
      </c>
      <c r="BY200" s="25" t="s">
        <v>945</v>
      </c>
      <c r="BZ200" t="s">
        <v>1393</v>
      </c>
      <c r="CA200" t="s">
        <v>936</v>
      </c>
      <c r="CB200" t="s">
        <v>1</v>
      </c>
      <c r="CC200" s="4" t="s">
        <v>1</v>
      </c>
      <c r="CD200" s="4">
        <v>3</v>
      </c>
      <c r="CE200" s="4" t="s">
        <v>984</v>
      </c>
      <c r="CH200" t="s">
        <v>1</v>
      </c>
      <c r="CI200" s="28" t="s">
        <v>1</v>
      </c>
      <c r="CJ200" s="10" t="s">
        <v>1</v>
      </c>
      <c r="CK200" s="9" t="s">
        <v>1</v>
      </c>
      <c r="CL200" s="4" t="s">
        <v>1</v>
      </c>
      <c r="CM200" t="s">
        <v>1024</v>
      </c>
      <c r="CN200" s="4">
        <v>47</v>
      </c>
      <c r="CO200" s="22" t="s">
        <v>1029</v>
      </c>
      <c r="CP200" s="4" t="s">
        <v>1</v>
      </c>
      <c r="CQ200" s="4" t="s">
        <v>1</v>
      </c>
      <c r="CR200" s="4" t="s">
        <v>1</v>
      </c>
      <c r="CS200" s="4" t="s">
        <v>1</v>
      </c>
      <c r="CT200" s="4" t="s">
        <v>1</v>
      </c>
      <c r="CU200" s="4" t="s">
        <v>1</v>
      </c>
      <c r="CV200" t="s">
        <v>855</v>
      </c>
      <c r="CW200">
        <v>100</v>
      </c>
      <c r="CX200">
        <v>0</v>
      </c>
      <c r="CY200">
        <v>30</v>
      </c>
      <c r="CZ200" t="s">
        <v>1358</v>
      </c>
      <c r="DA200" t="s">
        <v>734</v>
      </c>
      <c r="DB200">
        <v>64</v>
      </c>
      <c r="DC200">
        <v>0</v>
      </c>
      <c r="DD200">
        <v>30</v>
      </c>
      <c r="DE200" t="s">
        <v>1358</v>
      </c>
      <c r="DF200" t="s">
        <v>735</v>
      </c>
      <c r="DG200">
        <v>22</v>
      </c>
      <c r="DH200">
        <v>0</v>
      </c>
      <c r="DI200">
        <v>30</v>
      </c>
      <c r="DJ200" t="s">
        <v>1358</v>
      </c>
      <c r="DK200" t="s">
        <v>736</v>
      </c>
      <c r="DL200">
        <v>14</v>
      </c>
      <c r="DM200">
        <v>0</v>
      </c>
      <c r="DN200">
        <v>30</v>
      </c>
      <c r="DO200" t="s">
        <v>1358</v>
      </c>
      <c r="DP200" t="s">
        <v>6</v>
      </c>
      <c r="DQ200" t="s">
        <v>813</v>
      </c>
      <c r="DR200">
        <v>6.4</v>
      </c>
      <c r="DS200">
        <v>0</v>
      </c>
      <c r="DT200">
        <v>30</v>
      </c>
      <c r="DU200" t="s">
        <v>1358</v>
      </c>
      <c r="DV200" t="s">
        <v>980</v>
      </c>
      <c r="DW200">
        <v>28</v>
      </c>
      <c r="DX200">
        <v>0</v>
      </c>
      <c r="DY200">
        <v>30</v>
      </c>
      <c r="DZ200" t="s">
        <v>1358</v>
      </c>
      <c r="EA200" t="s">
        <v>982</v>
      </c>
      <c r="EB200">
        <v>16</v>
      </c>
      <c r="EC200">
        <v>0</v>
      </c>
      <c r="ED200">
        <v>30</v>
      </c>
      <c r="EE200" t="s">
        <v>1358</v>
      </c>
      <c r="EG200" t="s">
        <v>981</v>
      </c>
      <c r="EH200">
        <f t="shared" si="21"/>
        <v>1.4</v>
      </c>
      <c r="EI200">
        <v>0</v>
      </c>
      <c r="EJ200">
        <v>30</v>
      </c>
      <c r="EK200" t="s">
        <v>1358</v>
      </c>
      <c r="EL200" t="s">
        <v>734</v>
      </c>
      <c r="EM200">
        <v>71</v>
      </c>
      <c r="EN200">
        <v>30</v>
      </c>
      <c r="EO200">
        <v>60</v>
      </c>
      <c r="EP200" t="s">
        <v>1358</v>
      </c>
      <c r="EQ200" t="s">
        <v>735</v>
      </c>
      <c r="ER200">
        <v>17</v>
      </c>
      <c r="ES200">
        <v>30</v>
      </c>
      <c r="ET200">
        <v>60</v>
      </c>
      <c r="EU200" t="s">
        <v>1358</v>
      </c>
      <c r="EV200" t="s">
        <v>736</v>
      </c>
      <c r="EW200">
        <v>12</v>
      </c>
      <c r="EX200">
        <v>30</v>
      </c>
      <c r="EY200">
        <v>60</v>
      </c>
      <c r="EZ200" t="s">
        <v>1358</v>
      </c>
      <c r="FA200" t="s">
        <v>980</v>
      </c>
      <c r="FB200">
        <v>25</v>
      </c>
      <c r="FC200">
        <v>30</v>
      </c>
      <c r="FD200">
        <v>60</v>
      </c>
      <c r="FE200" t="s">
        <v>1358</v>
      </c>
      <c r="FF200" t="s">
        <v>734</v>
      </c>
      <c r="FG200">
        <f t="shared" si="22"/>
        <v>67.34</v>
      </c>
      <c r="FH200">
        <v>60</v>
      </c>
      <c r="FI200">
        <v>90</v>
      </c>
      <c r="FJ200" t="s">
        <v>1358</v>
      </c>
      <c r="FK200" t="s">
        <v>735</v>
      </c>
      <c r="FL200">
        <f t="shared" si="23"/>
        <v>20.100000000000001</v>
      </c>
      <c r="FM200">
        <v>60</v>
      </c>
      <c r="FN200">
        <v>90</v>
      </c>
      <c r="FO200" t="s">
        <v>1358</v>
      </c>
      <c r="FP200" t="s">
        <v>736</v>
      </c>
      <c r="FQ200">
        <f t="shared" si="24"/>
        <v>12.56</v>
      </c>
      <c r="FR200">
        <v>60</v>
      </c>
      <c r="FS200">
        <v>90</v>
      </c>
      <c r="FT200" t="s">
        <v>1358</v>
      </c>
      <c r="FU200" t="s">
        <v>980</v>
      </c>
      <c r="FV200">
        <v>25</v>
      </c>
      <c r="FW200">
        <v>60</v>
      </c>
      <c r="FX200">
        <v>90</v>
      </c>
      <c r="FY200" t="s">
        <v>1358</v>
      </c>
      <c r="FZ200" t="s">
        <v>957</v>
      </c>
      <c r="GA200" t="s">
        <v>958</v>
      </c>
      <c r="GB200" t="s">
        <v>959</v>
      </c>
      <c r="GC200" t="s">
        <v>1</v>
      </c>
      <c r="GD200" t="s">
        <v>1</v>
      </c>
      <c r="GE200" s="26" t="s">
        <v>1358</v>
      </c>
      <c r="GF200" t="s">
        <v>957</v>
      </c>
      <c r="GG200" t="s">
        <v>961</v>
      </c>
      <c r="GH200" t="s">
        <v>960</v>
      </c>
      <c r="GI200" s="20">
        <v>1961</v>
      </c>
      <c r="GJ200" s="20">
        <v>1990</v>
      </c>
      <c r="GK200" s="26" t="s">
        <v>1358</v>
      </c>
      <c r="GL200" t="s">
        <v>953</v>
      </c>
      <c r="GM200" t="s">
        <v>955</v>
      </c>
      <c r="GN200" t="s">
        <v>954</v>
      </c>
      <c r="GO200" s="5" t="s">
        <v>956</v>
      </c>
      <c r="GP200" s="5" t="s">
        <v>1382</v>
      </c>
      <c r="GQ200" s="5" t="s">
        <v>962</v>
      </c>
      <c r="GR200" s="5" t="s">
        <v>963</v>
      </c>
      <c r="GS200" s="5" t="s">
        <v>959</v>
      </c>
      <c r="GT200" s="26" t="s">
        <v>1358</v>
      </c>
      <c r="GU200" s="5" t="s">
        <v>962</v>
      </c>
      <c r="GV200" s="5" t="s">
        <v>964</v>
      </c>
      <c r="GW200" s="5" t="s">
        <v>960</v>
      </c>
      <c r="GX200" s="20">
        <v>1961</v>
      </c>
      <c r="GY200" s="20">
        <v>1990</v>
      </c>
      <c r="GZ200" s="26" t="s">
        <v>1358</v>
      </c>
      <c r="HA200" s="5" t="s">
        <v>1</v>
      </c>
      <c r="HB200" s="5" t="s">
        <v>1</v>
      </c>
      <c r="HC200" s="5" t="s">
        <v>1</v>
      </c>
      <c r="HD200" s="5" t="s">
        <v>1</v>
      </c>
      <c r="HE200" t="s">
        <v>1</v>
      </c>
      <c r="HF200" s="5" t="s">
        <v>1</v>
      </c>
      <c r="HG200" s="5" t="s">
        <v>1</v>
      </c>
      <c r="HH200" s="5" t="s">
        <v>1</v>
      </c>
      <c r="HI200" s="5" t="s">
        <v>1</v>
      </c>
      <c r="HJ200" t="s">
        <v>1</v>
      </c>
      <c r="HK200" t="s">
        <v>1</v>
      </c>
      <c r="HL200" t="s">
        <v>1</v>
      </c>
      <c r="HM200" t="s">
        <v>1</v>
      </c>
      <c r="HN200" t="s">
        <v>1</v>
      </c>
      <c r="HO200" t="s">
        <v>1</v>
      </c>
      <c r="HP200" t="s">
        <v>1</v>
      </c>
      <c r="HQ200" t="s">
        <v>983</v>
      </c>
      <c r="HR200" t="s">
        <v>1043</v>
      </c>
      <c r="HS200" s="5" t="s">
        <v>1049</v>
      </c>
      <c r="HT200" s="28" t="s">
        <v>1425</v>
      </c>
      <c r="HU200" s="5" t="s">
        <v>842</v>
      </c>
      <c r="HV200" s="5" t="s">
        <v>1358</v>
      </c>
      <c r="HW200" t="s">
        <v>937</v>
      </c>
      <c r="HX200" t="s">
        <v>942</v>
      </c>
      <c r="HY200" s="30" t="s">
        <v>944</v>
      </c>
      <c r="HZ200" t="s">
        <v>1295</v>
      </c>
      <c r="IA200">
        <f>30+150</f>
        <v>180</v>
      </c>
      <c r="IB200" s="10" t="s">
        <v>1</v>
      </c>
      <c r="IC200" s="10">
        <v>15</v>
      </c>
      <c r="ID200" s="10" t="s">
        <v>984</v>
      </c>
      <c r="IE200" s="10" t="s">
        <v>1</v>
      </c>
      <c r="IF200" s="10" t="s">
        <v>1</v>
      </c>
      <c r="IG200" t="s">
        <v>1310</v>
      </c>
      <c r="IH200" s="10">
        <f t="shared" si="28"/>
        <v>114.5</v>
      </c>
      <c r="II200" s="10" t="s">
        <v>1</v>
      </c>
      <c r="IJ200" s="10" t="s">
        <v>1</v>
      </c>
      <c r="IK200" t="s">
        <v>1311</v>
      </c>
      <c r="IL200" s="10">
        <f t="shared" si="29"/>
        <v>67.2</v>
      </c>
      <c r="IM200" s="10" t="s">
        <v>1</v>
      </c>
      <c r="IN200" s="10" t="s">
        <v>1</v>
      </c>
      <c r="IO200" s="10" t="s">
        <v>1319</v>
      </c>
      <c r="IP200" s="10">
        <v>15</v>
      </c>
      <c r="IQ200" s="10" t="s">
        <v>1</v>
      </c>
      <c r="IR200" s="10" t="s">
        <v>1</v>
      </c>
      <c r="IS200" t="s">
        <v>1</v>
      </c>
      <c r="IT200" t="s">
        <v>1</v>
      </c>
      <c r="IW200" t="s">
        <v>1</v>
      </c>
      <c r="IX200" t="s">
        <v>1</v>
      </c>
      <c r="IY200" t="s">
        <v>1</v>
      </c>
      <c r="IZ200" t="s">
        <v>1</v>
      </c>
      <c r="JA200" t="s">
        <v>1</v>
      </c>
      <c r="JB200" s="3" t="s">
        <v>1</v>
      </c>
      <c r="JC200" t="s">
        <v>1</v>
      </c>
      <c r="JD200" s="4" t="s">
        <v>1</v>
      </c>
      <c r="JE200" t="s">
        <v>810</v>
      </c>
      <c r="JF200">
        <v>100</v>
      </c>
      <c r="JG200" t="s">
        <v>859</v>
      </c>
      <c r="JH200" t="s">
        <v>1387</v>
      </c>
      <c r="JI200" t="s">
        <v>946</v>
      </c>
      <c r="JJ200" t="s">
        <v>1421</v>
      </c>
      <c r="JK200" s="31" t="s">
        <v>1</v>
      </c>
      <c r="JL200" t="s">
        <v>947</v>
      </c>
      <c r="JM200" t="s">
        <v>948</v>
      </c>
      <c r="JN200" t="s">
        <v>1050</v>
      </c>
      <c r="JO200" s="30" t="s">
        <v>944</v>
      </c>
      <c r="JP200" t="s">
        <v>1051</v>
      </c>
      <c r="JQ200" s="32" t="s">
        <v>1059</v>
      </c>
      <c r="JR200" t="s">
        <v>1066</v>
      </c>
      <c r="JS200" t="s">
        <v>999</v>
      </c>
      <c r="JT200" t="s">
        <v>995</v>
      </c>
      <c r="JU200" t="s">
        <v>1</v>
      </c>
      <c r="JV200" t="s">
        <v>1423</v>
      </c>
      <c r="JW200" t="s">
        <v>842</v>
      </c>
      <c r="JX200">
        <v>0</v>
      </c>
      <c r="JY200">
        <v>80</v>
      </c>
      <c r="JZ200" t="s">
        <v>800</v>
      </c>
      <c r="KA200" t="s">
        <v>206</v>
      </c>
      <c r="KB200" t="s">
        <v>738</v>
      </c>
      <c r="KC200" t="s">
        <v>1</v>
      </c>
      <c r="KD200" t="s">
        <v>1</v>
      </c>
      <c r="KE200" t="s">
        <v>1</v>
      </c>
      <c r="KF200" t="s">
        <v>1</v>
      </c>
      <c r="KG200" t="s">
        <v>1</v>
      </c>
      <c r="KH200" t="s">
        <v>1</v>
      </c>
      <c r="KI200" t="s">
        <v>1</v>
      </c>
      <c r="KJ200" t="s">
        <v>1</v>
      </c>
      <c r="KK200" t="s">
        <v>1</v>
      </c>
    </row>
    <row r="201" spans="1:297" x14ac:dyDescent="0.2">
      <c r="A201" s="3" t="s">
        <v>882</v>
      </c>
      <c r="B201" t="s">
        <v>705</v>
      </c>
      <c r="C201" t="s">
        <v>918</v>
      </c>
      <c r="D201" t="s">
        <v>690</v>
      </c>
      <c r="E201">
        <v>29</v>
      </c>
      <c r="F201" t="s">
        <v>213</v>
      </c>
      <c r="G201" t="s">
        <v>1</v>
      </c>
      <c r="H201" s="26" t="s">
        <v>1420</v>
      </c>
      <c r="I201" t="s">
        <v>1</v>
      </c>
      <c r="J201" t="s">
        <v>1</v>
      </c>
      <c r="K201" t="s">
        <v>1</v>
      </c>
      <c r="L201" t="s">
        <v>1</v>
      </c>
      <c r="M201" t="s">
        <v>1</v>
      </c>
      <c r="N201" t="s">
        <v>1</v>
      </c>
      <c r="O201" t="s">
        <v>1</v>
      </c>
      <c r="P201" t="s">
        <v>1</v>
      </c>
      <c r="Q201" t="s">
        <v>1</v>
      </c>
      <c r="R201" t="s">
        <v>1</v>
      </c>
      <c r="S201" t="s">
        <v>1</v>
      </c>
      <c r="T201" t="s">
        <v>1</v>
      </c>
      <c r="U201" t="s">
        <v>1</v>
      </c>
      <c r="V201" t="s">
        <v>1</v>
      </c>
      <c r="W201" t="s">
        <v>1</v>
      </c>
      <c r="X201" t="s">
        <v>1</v>
      </c>
      <c r="Y201" t="s">
        <v>1</v>
      </c>
      <c r="Z201" t="s">
        <v>1</v>
      </c>
      <c r="AA201" t="s">
        <v>1</v>
      </c>
      <c r="AB201" t="s">
        <v>1</v>
      </c>
      <c r="AC201" t="s">
        <v>1</v>
      </c>
      <c r="AD201" t="s">
        <v>1</v>
      </c>
      <c r="AE201" t="s">
        <v>1</v>
      </c>
      <c r="AF201" t="s">
        <v>1</v>
      </c>
      <c r="AG201" t="s">
        <v>1</v>
      </c>
      <c r="AH201" t="s">
        <v>1</v>
      </c>
      <c r="AI201" t="s">
        <v>1</v>
      </c>
      <c r="AJ201" t="s">
        <v>1</v>
      </c>
      <c r="AK201" t="s">
        <v>1</v>
      </c>
      <c r="AL201" t="s">
        <v>1</v>
      </c>
      <c r="AM201" t="s">
        <v>1</v>
      </c>
      <c r="AN201" s="3" t="s">
        <v>882</v>
      </c>
      <c r="AO201" t="str">
        <f t="shared" si="25"/>
        <v>180-23</v>
      </c>
      <c r="AP201">
        <f t="shared" si="26"/>
        <v>29</v>
      </c>
      <c r="AQ201">
        <f t="shared" si="27"/>
        <v>29</v>
      </c>
      <c r="AR201" t="s">
        <v>1355</v>
      </c>
      <c r="AS201" t="s">
        <v>1356</v>
      </c>
      <c r="AT201" t="s">
        <v>714</v>
      </c>
      <c r="AU201" t="s">
        <v>1</v>
      </c>
      <c r="AV201" t="s">
        <v>1</v>
      </c>
      <c r="AW201">
        <v>58.37</v>
      </c>
      <c r="AX201">
        <v>13.48</v>
      </c>
      <c r="AY201" t="s">
        <v>737</v>
      </c>
      <c r="AZ201">
        <f t="shared" si="19"/>
        <v>5.3999999999999999E-2</v>
      </c>
      <c r="BA201" s="3">
        <f t="shared" si="20"/>
        <v>6</v>
      </c>
      <c r="BB201" s="10" t="s">
        <v>1355</v>
      </c>
      <c r="BC201" t="s">
        <v>1461</v>
      </c>
      <c r="BD201" s="30">
        <v>38589</v>
      </c>
      <c r="BE201" s="3" t="s">
        <v>932</v>
      </c>
      <c r="BF201" s="30">
        <v>38933</v>
      </c>
      <c r="BG201" s="19" t="s">
        <v>934</v>
      </c>
      <c r="BH201" s="19" t="s">
        <v>934</v>
      </c>
      <c r="BI201" s="19" t="s">
        <v>945</v>
      </c>
      <c r="BJ201" s="19" t="s">
        <v>934</v>
      </c>
      <c r="BK201" s="19" t="s">
        <v>945</v>
      </c>
      <c r="BL201" s="19" t="s">
        <v>945</v>
      </c>
      <c r="BM201" s="19" t="s">
        <v>945</v>
      </c>
      <c r="BN201" s="19" t="s">
        <v>934</v>
      </c>
      <c r="BO201" s="19" t="s">
        <v>934</v>
      </c>
      <c r="BP201" s="19" t="s">
        <v>945</v>
      </c>
      <c r="BQ201" s="24" t="s">
        <v>945</v>
      </c>
      <c r="BR201" s="24" t="s">
        <v>945</v>
      </c>
      <c r="BS201" s="24" t="s">
        <v>934</v>
      </c>
      <c r="BT201" s="24" t="s">
        <v>934</v>
      </c>
      <c r="BU201" s="24" t="s">
        <v>934</v>
      </c>
      <c r="BV201" s="24" t="s">
        <v>934</v>
      </c>
      <c r="BW201" s="24" t="s">
        <v>934</v>
      </c>
      <c r="BX201" s="24" t="s">
        <v>934</v>
      </c>
      <c r="BY201" s="25" t="s">
        <v>945</v>
      </c>
      <c r="BZ201" t="s">
        <v>1393</v>
      </c>
      <c r="CA201" t="s">
        <v>936</v>
      </c>
      <c r="CB201" t="s">
        <v>1</v>
      </c>
      <c r="CC201" s="4" t="s">
        <v>1</v>
      </c>
      <c r="CD201" s="4">
        <v>3</v>
      </c>
      <c r="CE201" s="4" t="s">
        <v>984</v>
      </c>
      <c r="CH201" t="s">
        <v>1</v>
      </c>
      <c r="CI201" s="28" t="s">
        <v>1</v>
      </c>
      <c r="CJ201" s="10" t="s">
        <v>1</v>
      </c>
      <c r="CK201" s="9" t="s">
        <v>1</v>
      </c>
      <c r="CL201" s="4" t="s">
        <v>1</v>
      </c>
      <c r="CM201" t="s">
        <v>1024</v>
      </c>
      <c r="CN201" s="4">
        <v>75</v>
      </c>
      <c r="CO201" s="22" t="s">
        <v>1029</v>
      </c>
      <c r="CP201" s="4" t="s">
        <v>1</v>
      </c>
      <c r="CQ201" s="4" t="s">
        <v>1</v>
      </c>
      <c r="CR201" s="4" t="s">
        <v>1</v>
      </c>
      <c r="CS201" s="4" t="s">
        <v>1</v>
      </c>
      <c r="CT201" s="4" t="s">
        <v>1</v>
      </c>
      <c r="CU201" s="4" t="s">
        <v>1</v>
      </c>
      <c r="CV201" t="s">
        <v>855</v>
      </c>
      <c r="CW201">
        <v>100</v>
      </c>
      <c r="CX201">
        <v>0</v>
      </c>
      <c r="CY201">
        <v>30</v>
      </c>
      <c r="CZ201" t="s">
        <v>1358</v>
      </c>
      <c r="DA201" t="s">
        <v>734</v>
      </c>
      <c r="DB201">
        <v>64</v>
      </c>
      <c r="DC201">
        <v>0</v>
      </c>
      <c r="DD201">
        <v>30</v>
      </c>
      <c r="DE201" t="s">
        <v>1358</v>
      </c>
      <c r="DF201" t="s">
        <v>735</v>
      </c>
      <c r="DG201">
        <v>22</v>
      </c>
      <c r="DH201">
        <v>0</v>
      </c>
      <c r="DI201">
        <v>30</v>
      </c>
      <c r="DJ201" t="s">
        <v>1358</v>
      </c>
      <c r="DK201" t="s">
        <v>736</v>
      </c>
      <c r="DL201">
        <v>14</v>
      </c>
      <c r="DM201">
        <v>0</v>
      </c>
      <c r="DN201">
        <v>30</v>
      </c>
      <c r="DO201" t="s">
        <v>1358</v>
      </c>
      <c r="DP201" t="s">
        <v>6</v>
      </c>
      <c r="DQ201" t="s">
        <v>813</v>
      </c>
      <c r="DR201">
        <v>6.4</v>
      </c>
      <c r="DS201">
        <v>0</v>
      </c>
      <c r="DT201">
        <v>30</v>
      </c>
      <c r="DU201" t="s">
        <v>1358</v>
      </c>
      <c r="DV201" t="s">
        <v>980</v>
      </c>
      <c r="DW201">
        <v>28</v>
      </c>
      <c r="DX201">
        <v>0</v>
      </c>
      <c r="DY201">
        <v>30</v>
      </c>
      <c r="DZ201" t="s">
        <v>1358</v>
      </c>
      <c r="EA201" t="s">
        <v>982</v>
      </c>
      <c r="EB201">
        <v>16</v>
      </c>
      <c r="EC201">
        <v>0</v>
      </c>
      <c r="ED201">
        <v>30</v>
      </c>
      <c r="EE201" t="s">
        <v>1358</v>
      </c>
      <c r="EG201" t="s">
        <v>981</v>
      </c>
      <c r="EH201">
        <f t="shared" si="21"/>
        <v>1.4</v>
      </c>
      <c r="EI201">
        <v>0</v>
      </c>
      <c r="EJ201">
        <v>30</v>
      </c>
      <c r="EK201" t="s">
        <v>1358</v>
      </c>
      <c r="EL201" t="s">
        <v>734</v>
      </c>
      <c r="EM201">
        <v>71</v>
      </c>
      <c r="EN201">
        <v>30</v>
      </c>
      <c r="EO201">
        <v>60</v>
      </c>
      <c r="EP201" t="s">
        <v>1358</v>
      </c>
      <c r="EQ201" t="s">
        <v>735</v>
      </c>
      <c r="ER201">
        <v>17</v>
      </c>
      <c r="ES201">
        <v>30</v>
      </c>
      <c r="ET201">
        <v>60</v>
      </c>
      <c r="EU201" t="s">
        <v>1358</v>
      </c>
      <c r="EV201" t="s">
        <v>736</v>
      </c>
      <c r="EW201">
        <v>12</v>
      </c>
      <c r="EX201">
        <v>30</v>
      </c>
      <c r="EY201">
        <v>60</v>
      </c>
      <c r="EZ201" t="s">
        <v>1358</v>
      </c>
      <c r="FA201" t="s">
        <v>980</v>
      </c>
      <c r="FB201">
        <v>25</v>
      </c>
      <c r="FC201">
        <v>30</v>
      </c>
      <c r="FD201">
        <v>60</v>
      </c>
      <c r="FE201" t="s">
        <v>1358</v>
      </c>
      <c r="FF201" t="s">
        <v>734</v>
      </c>
      <c r="FG201">
        <f t="shared" si="22"/>
        <v>67.34</v>
      </c>
      <c r="FH201">
        <v>60</v>
      </c>
      <c r="FI201">
        <v>90</v>
      </c>
      <c r="FJ201" t="s">
        <v>1358</v>
      </c>
      <c r="FK201" t="s">
        <v>735</v>
      </c>
      <c r="FL201">
        <f t="shared" si="23"/>
        <v>20.100000000000001</v>
      </c>
      <c r="FM201">
        <v>60</v>
      </c>
      <c r="FN201">
        <v>90</v>
      </c>
      <c r="FO201" t="s">
        <v>1358</v>
      </c>
      <c r="FP201" t="s">
        <v>736</v>
      </c>
      <c r="FQ201">
        <f t="shared" si="24"/>
        <v>12.56</v>
      </c>
      <c r="FR201">
        <v>60</v>
      </c>
      <c r="FS201">
        <v>90</v>
      </c>
      <c r="FT201" t="s">
        <v>1358</v>
      </c>
      <c r="FU201" t="s">
        <v>980</v>
      </c>
      <c r="FV201">
        <v>25</v>
      </c>
      <c r="FW201">
        <v>60</v>
      </c>
      <c r="FX201">
        <v>90</v>
      </c>
      <c r="FY201" t="s">
        <v>1358</v>
      </c>
      <c r="FZ201" t="s">
        <v>957</v>
      </c>
      <c r="GA201" t="s">
        <v>958</v>
      </c>
      <c r="GB201" t="s">
        <v>959</v>
      </c>
      <c r="GC201" t="s">
        <v>1</v>
      </c>
      <c r="GD201" t="s">
        <v>1</v>
      </c>
      <c r="GE201" s="26" t="s">
        <v>1358</v>
      </c>
      <c r="GF201" t="s">
        <v>957</v>
      </c>
      <c r="GG201" t="s">
        <v>961</v>
      </c>
      <c r="GH201" t="s">
        <v>960</v>
      </c>
      <c r="GI201" s="20">
        <v>1961</v>
      </c>
      <c r="GJ201" s="20">
        <v>1990</v>
      </c>
      <c r="GK201" s="26" t="s">
        <v>1358</v>
      </c>
      <c r="GL201" t="s">
        <v>953</v>
      </c>
      <c r="GM201" t="s">
        <v>955</v>
      </c>
      <c r="GN201" t="s">
        <v>954</v>
      </c>
      <c r="GO201" s="5" t="s">
        <v>956</v>
      </c>
      <c r="GP201" s="5" t="s">
        <v>1382</v>
      </c>
      <c r="GQ201" s="5" t="s">
        <v>962</v>
      </c>
      <c r="GR201" s="5" t="s">
        <v>963</v>
      </c>
      <c r="GS201" s="5" t="s">
        <v>959</v>
      </c>
      <c r="GT201" s="26" t="s">
        <v>1358</v>
      </c>
      <c r="GU201" s="5" t="s">
        <v>962</v>
      </c>
      <c r="GV201" s="5" t="s">
        <v>964</v>
      </c>
      <c r="GW201" s="5" t="s">
        <v>960</v>
      </c>
      <c r="GX201" s="20">
        <v>1961</v>
      </c>
      <c r="GY201" s="20">
        <v>1990</v>
      </c>
      <c r="GZ201" s="26" t="s">
        <v>1358</v>
      </c>
      <c r="HA201" s="5" t="s">
        <v>1</v>
      </c>
      <c r="HB201" s="5" t="s">
        <v>1</v>
      </c>
      <c r="HC201" s="5" t="s">
        <v>1</v>
      </c>
      <c r="HD201" s="5" t="s">
        <v>1</v>
      </c>
      <c r="HE201" t="s">
        <v>1</v>
      </c>
      <c r="HF201" s="5" t="s">
        <v>1</v>
      </c>
      <c r="HG201" s="5" t="s">
        <v>1</v>
      </c>
      <c r="HH201" s="5" t="s">
        <v>1</v>
      </c>
      <c r="HI201" s="5" t="s">
        <v>1</v>
      </c>
      <c r="HJ201" t="s">
        <v>1</v>
      </c>
      <c r="HK201" t="s">
        <v>1</v>
      </c>
      <c r="HL201" t="s">
        <v>1</v>
      </c>
      <c r="HM201" t="s">
        <v>1</v>
      </c>
      <c r="HN201" t="s">
        <v>1</v>
      </c>
      <c r="HO201" t="s">
        <v>1</v>
      </c>
      <c r="HP201" t="s">
        <v>1</v>
      </c>
      <c r="HQ201" t="s">
        <v>983</v>
      </c>
      <c r="HR201" t="s">
        <v>1044</v>
      </c>
      <c r="HS201" s="5" t="s">
        <v>1049</v>
      </c>
      <c r="HT201" s="28" t="s">
        <v>1425</v>
      </c>
      <c r="HU201" s="5" t="s">
        <v>842</v>
      </c>
      <c r="HV201" s="5" t="s">
        <v>1358</v>
      </c>
      <c r="HW201" t="s">
        <v>937</v>
      </c>
      <c r="HX201">
        <v>6.5</v>
      </c>
      <c r="HY201" s="30">
        <v>38589</v>
      </c>
      <c r="HZ201" t="s">
        <v>1295</v>
      </c>
      <c r="IA201">
        <v>60</v>
      </c>
      <c r="IB201" s="10" t="s">
        <v>1</v>
      </c>
      <c r="IC201" s="10">
        <v>15</v>
      </c>
      <c r="ID201" s="10" t="s">
        <v>984</v>
      </c>
      <c r="IE201" s="10" t="s">
        <v>1</v>
      </c>
      <c r="IF201" s="10" t="s">
        <v>1</v>
      </c>
      <c r="IG201" t="s">
        <v>1310</v>
      </c>
      <c r="IH201" s="10">
        <f t="shared" si="28"/>
        <v>114.5</v>
      </c>
      <c r="II201" s="10" t="s">
        <v>1</v>
      </c>
      <c r="IJ201" s="10" t="s">
        <v>1</v>
      </c>
      <c r="IK201" t="s">
        <v>1311</v>
      </c>
      <c r="IL201" s="10">
        <f t="shared" si="29"/>
        <v>67.2</v>
      </c>
      <c r="IM201" s="10" t="s">
        <v>1</v>
      </c>
      <c r="IN201" s="10" t="s">
        <v>1</v>
      </c>
      <c r="IO201" s="10" t="s">
        <v>1319</v>
      </c>
      <c r="IP201" s="10">
        <v>15</v>
      </c>
      <c r="IQ201" s="10" t="s">
        <v>1</v>
      </c>
      <c r="IR201" s="10" t="s">
        <v>1</v>
      </c>
      <c r="IS201" t="s">
        <v>1</v>
      </c>
      <c r="IT201" t="s">
        <v>1</v>
      </c>
      <c r="IW201" t="s">
        <v>1</v>
      </c>
      <c r="IX201" t="s">
        <v>1</v>
      </c>
      <c r="IY201" t="s">
        <v>1</v>
      </c>
      <c r="IZ201" t="s">
        <v>1</v>
      </c>
      <c r="JA201" t="s">
        <v>1</v>
      </c>
      <c r="JB201" s="3" t="s">
        <v>1</v>
      </c>
      <c r="JC201" t="s">
        <v>1</v>
      </c>
      <c r="JD201" s="4" t="s">
        <v>1</v>
      </c>
      <c r="JE201" t="s">
        <v>810</v>
      </c>
      <c r="JF201">
        <v>100</v>
      </c>
      <c r="JG201" t="s">
        <v>859</v>
      </c>
      <c r="JH201" t="s">
        <v>1387</v>
      </c>
      <c r="JI201" t="s">
        <v>946</v>
      </c>
      <c r="JJ201" t="s">
        <v>1421</v>
      </c>
      <c r="JK201" s="31" t="s">
        <v>1</v>
      </c>
      <c r="JL201" t="s">
        <v>947</v>
      </c>
      <c r="JM201" t="s">
        <v>948</v>
      </c>
      <c r="JN201" t="s">
        <v>1050</v>
      </c>
      <c r="JO201" s="30">
        <v>38589</v>
      </c>
      <c r="JP201" t="s">
        <v>1051</v>
      </c>
      <c r="JQ201" s="32" t="s">
        <v>1059</v>
      </c>
      <c r="JR201" t="s">
        <v>1066</v>
      </c>
      <c r="JS201" t="s">
        <v>1000</v>
      </c>
      <c r="JT201" t="s">
        <v>995</v>
      </c>
      <c r="JU201" t="s">
        <v>1</v>
      </c>
      <c r="JV201" t="s">
        <v>1423</v>
      </c>
      <c r="JW201" t="s">
        <v>842</v>
      </c>
      <c r="JX201">
        <v>0</v>
      </c>
      <c r="JY201">
        <v>80</v>
      </c>
      <c r="JZ201" t="s">
        <v>800</v>
      </c>
      <c r="KA201" t="s">
        <v>206</v>
      </c>
      <c r="KB201" t="s">
        <v>738</v>
      </c>
      <c r="KC201" t="s">
        <v>1</v>
      </c>
      <c r="KD201" t="s">
        <v>1</v>
      </c>
      <c r="KE201" t="s">
        <v>1</v>
      </c>
      <c r="KF201" t="s">
        <v>1</v>
      </c>
      <c r="KG201" t="s">
        <v>1</v>
      </c>
      <c r="KH201" t="s">
        <v>1</v>
      </c>
      <c r="KI201" t="s">
        <v>1</v>
      </c>
      <c r="KJ201" t="s">
        <v>1</v>
      </c>
      <c r="KK201" t="s">
        <v>1</v>
      </c>
    </row>
    <row r="202" spans="1:297" x14ac:dyDescent="0.2">
      <c r="A202" s="3" t="s">
        <v>883</v>
      </c>
      <c r="B202" t="s">
        <v>705</v>
      </c>
      <c r="C202" t="s">
        <v>919</v>
      </c>
      <c r="D202" t="s">
        <v>690</v>
      </c>
      <c r="E202">
        <v>29</v>
      </c>
      <c r="F202" t="s">
        <v>213</v>
      </c>
      <c r="G202" t="s">
        <v>1</v>
      </c>
      <c r="H202" s="26" t="s">
        <v>1420</v>
      </c>
      <c r="I202" t="s">
        <v>1</v>
      </c>
      <c r="J202" t="s">
        <v>1</v>
      </c>
      <c r="K202" t="s">
        <v>1</v>
      </c>
      <c r="L202" t="s">
        <v>1</v>
      </c>
      <c r="M202" t="s">
        <v>1</v>
      </c>
      <c r="N202" t="s">
        <v>1</v>
      </c>
      <c r="O202" t="s">
        <v>1</v>
      </c>
      <c r="P202" t="s">
        <v>1</v>
      </c>
      <c r="Q202" t="s">
        <v>1</v>
      </c>
      <c r="R202" t="s">
        <v>1</v>
      </c>
      <c r="S202" t="s">
        <v>1</v>
      </c>
      <c r="T202" t="s">
        <v>1</v>
      </c>
      <c r="U202" t="s">
        <v>1</v>
      </c>
      <c r="V202" t="s">
        <v>1</v>
      </c>
      <c r="W202" t="s">
        <v>1</v>
      </c>
      <c r="X202" t="s">
        <v>1</v>
      </c>
      <c r="Y202" t="s">
        <v>1</v>
      </c>
      <c r="Z202" t="s">
        <v>1</v>
      </c>
      <c r="AA202" t="s">
        <v>1</v>
      </c>
      <c r="AB202" t="s">
        <v>1</v>
      </c>
      <c r="AC202" t="s">
        <v>1</v>
      </c>
      <c r="AD202" t="s">
        <v>1</v>
      </c>
      <c r="AE202" t="s">
        <v>1</v>
      </c>
      <c r="AF202" t="s">
        <v>1</v>
      </c>
      <c r="AG202" t="s">
        <v>1</v>
      </c>
      <c r="AH202" t="s">
        <v>1</v>
      </c>
      <c r="AI202" t="s">
        <v>1</v>
      </c>
      <c r="AJ202" t="s">
        <v>1</v>
      </c>
      <c r="AK202" t="s">
        <v>1</v>
      </c>
      <c r="AL202" t="s">
        <v>1</v>
      </c>
      <c r="AM202" t="s">
        <v>1</v>
      </c>
      <c r="AN202" s="3" t="s">
        <v>883</v>
      </c>
      <c r="AO202" t="str">
        <f t="shared" si="25"/>
        <v>180-24</v>
      </c>
      <c r="AP202">
        <f t="shared" si="26"/>
        <v>29</v>
      </c>
      <c r="AQ202">
        <f t="shared" si="27"/>
        <v>29</v>
      </c>
      <c r="AR202" t="s">
        <v>1355</v>
      </c>
      <c r="AS202" t="s">
        <v>1356</v>
      </c>
      <c r="AT202" t="s">
        <v>714</v>
      </c>
      <c r="AU202" t="s">
        <v>1</v>
      </c>
      <c r="AV202" t="s">
        <v>1</v>
      </c>
      <c r="AW202">
        <v>58.37</v>
      </c>
      <c r="AX202">
        <v>13.48</v>
      </c>
      <c r="AY202" t="s">
        <v>737</v>
      </c>
      <c r="AZ202">
        <f t="shared" si="19"/>
        <v>5.3999999999999999E-2</v>
      </c>
      <c r="BA202" s="3">
        <f t="shared" si="20"/>
        <v>6</v>
      </c>
      <c r="BB202" s="10" t="s">
        <v>1355</v>
      </c>
      <c r="BC202" t="s">
        <v>1461</v>
      </c>
      <c r="BD202" s="30">
        <v>38589</v>
      </c>
      <c r="BE202" s="3" t="s">
        <v>932</v>
      </c>
      <c r="BF202" s="30">
        <v>38933</v>
      </c>
      <c r="BG202" s="19" t="s">
        <v>934</v>
      </c>
      <c r="BH202" s="19" t="s">
        <v>934</v>
      </c>
      <c r="BI202" s="19" t="s">
        <v>945</v>
      </c>
      <c r="BJ202" s="19" t="s">
        <v>934</v>
      </c>
      <c r="BK202" s="19" t="s">
        <v>945</v>
      </c>
      <c r="BL202" s="19" t="s">
        <v>945</v>
      </c>
      <c r="BM202" s="19" t="s">
        <v>945</v>
      </c>
      <c r="BN202" s="19" t="s">
        <v>934</v>
      </c>
      <c r="BO202" s="19" t="s">
        <v>934</v>
      </c>
      <c r="BP202" s="19" t="s">
        <v>945</v>
      </c>
      <c r="BQ202" s="24" t="s">
        <v>945</v>
      </c>
      <c r="BR202" s="24" t="s">
        <v>945</v>
      </c>
      <c r="BS202" s="24" t="s">
        <v>934</v>
      </c>
      <c r="BT202" s="24" t="s">
        <v>934</v>
      </c>
      <c r="BU202" s="24" t="s">
        <v>934</v>
      </c>
      <c r="BV202" s="24" t="s">
        <v>934</v>
      </c>
      <c r="BW202" s="24" t="s">
        <v>934</v>
      </c>
      <c r="BX202" s="24" t="s">
        <v>934</v>
      </c>
      <c r="BY202" s="25" t="s">
        <v>945</v>
      </c>
      <c r="BZ202" t="s">
        <v>1393</v>
      </c>
      <c r="CA202" t="s">
        <v>936</v>
      </c>
      <c r="CB202" t="s">
        <v>1</v>
      </c>
      <c r="CC202" s="4" t="s">
        <v>1</v>
      </c>
      <c r="CD202" s="4">
        <v>3</v>
      </c>
      <c r="CE202" s="4" t="s">
        <v>984</v>
      </c>
      <c r="CH202" t="s">
        <v>1</v>
      </c>
      <c r="CI202" s="28" t="s">
        <v>1</v>
      </c>
      <c r="CJ202" s="10" t="s">
        <v>1</v>
      </c>
      <c r="CK202" s="9" t="s">
        <v>1</v>
      </c>
      <c r="CL202" s="4" t="s">
        <v>1</v>
      </c>
      <c r="CM202" t="s">
        <v>1024</v>
      </c>
      <c r="CN202" s="4">
        <v>75</v>
      </c>
      <c r="CO202" s="22" t="s">
        <v>1029</v>
      </c>
      <c r="CP202" s="4" t="s">
        <v>1</v>
      </c>
      <c r="CQ202" s="4" t="s">
        <v>1</v>
      </c>
      <c r="CR202" s="4" t="s">
        <v>1</v>
      </c>
      <c r="CS202" s="4" t="s">
        <v>1</v>
      </c>
      <c r="CT202" s="4" t="s">
        <v>1</v>
      </c>
      <c r="CU202" s="4" t="s">
        <v>1</v>
      </c>
      <c r="CV202" t="s">
        <v>855</v>
      </c>
      <c r="CW202">
        <v>100</v>
      </c>
      <c r="CX202">
        <v>0</v>
      </c>
      <c r="CY202">
        <v>30</v>
      </c>
      <c r="CZ202" t="s">
        <v>1358</v>
      </c>
      <c r="DA202" t="s">
        <v>734</v>
      </c>
      <c r="DB202">
        <v>64</v>
      </c>
      <c r="DC202">
        <v>0</v>
      </c>
      <c r="DD202">
        <v>30</v>
      </c>
      <c r="DE202" t="s">
        <v>1358</v>
      </c>
      <c r="DF202" t="s">
        <v>735</v>
      </c>
      <c r="DG202">
        <v>22</v>
      </c>
      <c r="DH202">
        <v>0</v>
      </c>
      <c r="DI202">
        <v>30</v>
      </c>
      <c r="DJ202" t="s">
        <v>1358</v>
      </c>
      <c r="DK202" t="s">
        <v>736</v>
      </c>
      <c r="DL202">
        <v>14</v>
      </c>
      <c r="DM202">
        <v>0</v>
      </c>
      <c r="DN202">
        <v>30</v>
      </c>
      <c r="DO202" t="s">
        <v>1358</v>
      </c>
      <c r="DP202" t="s">
        <v>6</v>
      </c>
      <c r="DQ202" t="s">
        <v>813</v>
      </c>
      <c r="DR202">
        <v>6.4</v>
      </c>
      <c r="DS202">
        <v>0</v>
      </c>
      <c r="DT202">
        <v>30</v>
      </c>
      <c r="DU202" t="s">
        <v>1358</v>
      </c>
      <c r="DV202" t="s">
        <v>980</v>
      </c>
      <c r="DW202">
        <v>28</v>
      </c>
      <c r="DX202">
        <v>0</v>
      </c>
      <c r="DY202">
        <v>30</v>
      </c>
      <c r="DZ202" t="s">
        <v>1358</v>
      </c>
      <c r="EA202" t="s">
        <v>982</v>
      </c>
      <c r="EB202">
        <v>16</v>
      </c>
      <c r="EC202">
        <v>0</v>
      </c>
      <c r="ED202">
        <v>30</v>
      </c>
      <c r="EE202" t="s">
        <v>1358</v>
      </c>
      <c r="EG202" t="s">
        <v>981</v>
      </c>
      <c r="EH202">
        <f t="shared" si="21"/>
        <v>1.4</v>
      </c>
      <c r="EI202">
        <v>0</v>
      </c>
      <c r="EJ202">
        <v>30</v>
      </c>
      <c r="EK202" t="s">
        <v>1358</v>
      </c>
      <c r="EL202" t="s">
        <v>734</v>
      </c>
      <c r="EM202">
        <v>71</v>
      </c>
      <c r="EN202">
        <v>30</v>
      </c>
      <c r="EO202">
        <v>60</v>
      </c>
      <c r="EP202" t="s">
        <v>1358</v>
      </c>
      <c r="EQ202" t="s">
        <v>735</v>
      </c>
      <c r="ER202">
        <v>17</v>
      </c>
      <c r="ES202">
        <v>30</v>
      </c>
      <c r="ET202">
        <v>60</v>
      </c>
      <c r="EU202" t="s">
        <v>1358</v>
      </c>
      <c r="EV202" t="s">
        <v>736</v>
      </c>
      <c r="EW202">
        <v>12</v>
      </c>
      <c r="EX202">
        <v>30</v>
      </c>
      <c r="EY202">
        <v>60</v>
      </c>
      <c r="EZ202" t="s">
        <v>1358</v>
      </c>
      <c r="FA202" t="s">
        <v>980</v>
      </c>
      <c r="FB202">
        <v>25</v>
      </c>
      <c r="FC202">
        <v>30</v>
      </c>
      <c r="FD202">
        <v>60</v>
      </c>
      <c r="FE202" t="s">
        <v>1358</v>
      </c>
      <c r="FF202" t="s">
        <v>734</v>
      </c>
      <c r="FG202">
        <f t="shared" si="22"/>
        <v>67.34</v>
      </c>
      <c r="FH202">
        <v>60</v>
      </c>
      <c r="FI202">
        <v>90</v>
      </c>
      <c r="FJ202" t="s">
        <v>1358</v>
      </c>
      <c r="FK202" t="s">
        <v>735</v>
      </c>
      <c r="FL202">
        <f t="shared" si="23"/>
        <v>20.100000000000001</v>
      </c>
      <c r="FM202">
        <v>60</v>
      </c>
      <c r="FN202">
        <v>90</v>
      </c>
      <c r="FO202" t="s">
        <v>1358</v>
      </c>
      <c r="FP202" t="s">
        <v>736</v>
      </c>
      <c r="FQ202">
        <f t="shared" si="24"/>
        <v>12.56</v>
      </c>
      <c r="FR202">
        <v>60</v>
      </c>
      <c r="FS202">
        <v>90</v>
      </c>
      <c r="FT202" t="s">
        <v>1358</v>
      </c>
      <c r="FU202" t="s">
        <v>980</v>
      </c>
      <c r="FV202">
        <v>25</v>
      </c>
      <c r="FW202">
        <v>60</v>
      </c>
      <c r="FX202">
        <v>90</v>
      </c>
      <c r="FY202" t="s">
        <v>1358</v>
      </c>
      <c r="FZ202" t="s">
        <v>957</v>
      </c>
      <c r="GA202" t="s">
        <v>958</v>
      </c>
      <c r="GB202" t="s">
        <v>959</v>
      </c>
      <c r="GC202" t="s">
        <v>1</v>
      </c>
      <c r="GD202" t="s">
        <v>1</v>
      </c>
      <c r="GE202" s="26" t="s">
        <v>1358</v>
      </c>
      <c r="GF202" t="s">
        <v>957</v>
      </c>
      <c r="GG202" t="s">
        <v>961</v>
      </c>
      <c r="GH202" t="s">
        <v>960</v>
      </c>
      <c r="GI202" s="20">
        <v>1961</v>
      </c>
      <c r="GJ202" s="20">
        <v>1990</v>
      </c>
      <c r="GK202" s="26" t="s">
        <v>1358</v>
      </c>
      <c r="GL202" t="s">
        <v>953</v>
      </c>
      <c r="GM202" t="s">
        <v>955</v>
      </c>
      <c r="GN202" t="s">
        <v>954</v>
      </c>
      <c r="GO202" s="5" t="s">
        <v>956</v>
      </c>
      <c r="GP202" s="5" t="s">
        <v>1382</v>
      </c>
      <c r="GQ202" s="5" t="s">
        <v>962</v>
      </c>
      <c r="GR202" s="5" t="s">
        <v>963</v>
      </c>
      <c r="GS202" s="5" t="s">
        <v>959</v>
      </c>
      <c r="GT202" s="26" t="s">
        <v>1358</v>
      </c>
      <c r="GU202" s="5" t="s">
        <v>962</v>
      </c>
      <c r="GV202" s="5" t="s">
        <v>964</v>
      </c>
      <c r="GW202" s="5" t="s">
        <v>960</v>
      </c>
      <c r="GX202" s="20">
        <v>1961</v>
      </c>
      <c r="GY202" s="20">
        <v>1990</v>
      </c>
      <c r="GZ202" s="26" t="s">
        <v>1358</v>
      </c>
      <c r="HA202" s="5" t="s">
        <v>1</v>
      </c>
      <c r="HB202" s="5" t="s">
        <v>1</v>
      </c>
      <c r="HC202" s="5" t="s">
        <v>1</v>
      </c>
      <c r="HD202" s="5" t="s">
        <v>1</v>
      </c>
      <c r="HE202" t="s">
        <v>1</v>
      </c>
      <c r="HF202" s="5" t="s">
        <v>1</v>
      </c>
      <c r="HG202" s="5" t="s">
        <v>1</v>
      </c>
      <c r="HH202" s="5" t="s">
        <v>1</v>
      </c>
      <c r="HI202" s="5" t="s">
        <v>1</v>
      </c>
      <c r="HJ202" t="s">
        <v>1</v>
      </c>
      <c r="HK202" t="s">
        <v>1</v>
      </c>
      <c r="HL202" t="s">
        <v>1</v>
      </c>
      <c r="HM202" t="s">
        <v>1</v>
      </c>
      <c r="HN202" t="s">
        <v>1</v>
      </c>
      <c r="HO202" t="s">
        <v>1</v>
      </c>
      <c r="HP202" t="s">
        <v>1</v>
      </c>
      <c r="HQ202" t="s">
        <v>983</v>
      </c>
      <c r="HR202" t="s">
        <v>1045</v>
      </c>
      <c r="HS202" s="5" t="s">
        <v>1049</v>
      </c>
      <c r="HT202" s="28" t="s">
        <v>1425</v>
      </c>
      <c r="HU202" s="5" t="s">
        <v>842</v>
      </c>
      <c r="HV202" s="5" t="s">
        <v>1358</v>
      </c>
      <c r="HW202" t="s">
        <v>937</v>
      </c>
      <c r="HX202">
        <v>6.5</v>
      </c>
      <c r="HY202" s="30">
        <v>38589</v>
      </c>
      <c r="HZ202" t="s">
        <v>1295</v>
      </c>
      <c r="IA202">
        <f>60+100</f>
        <v>160</v>
      </c>
      <c r="IB202" s="10" t="s">
        <v>1</v>
      </c>
      <c r="IC202" s="10">
        <v>15</v>
      </c>
      <c r="ID202" s="10" t="s">
        <v>984</v>
      </c>
      <c r="IE202" s="10" t="s">
        <v>1</v>
      </c>
      <c r="IF202" s="10" t="s">
        <v>1</v>
      </c>
      <c r="IG202" t="s">
        <v>1310</v>
      </c>
      <c r="IH202" s="10">
        <f t="shared" si="28"/>
        <v>114.5</v>
      </c>
      <c r="II202" s="10" t="s">
        <v>1</v>
      </c>
      <c r="IJ202" s="10" t="s">
        <v>1</v>
      </c>
      <c r="IK202" t="s">
        <v>1311</v>
      </c>
      <c r="IL202" s="10">
        <f t="shared" si="29"/>
        <v>67.2</v>
      </c>
      <c r="IM202" s="10" t="s">
        <v>1</v>
      </c>
      <c r="IN202" s="10" t="s">
        <v>1</v>
      </c>
      <c r="IO202" s="10" t="s">
        <v>1319</v>
      </c>
      <c r="IP202" s="10">
        <v>15</v>
      </c>
      <c r="IQ202" s="10" t="s">
        <v>1</v>
      </c>
      <c r="IR202" s="10" t="s">
        <v>1</v>
      </c>
      <c r="IS202" t="s">
        <v>1</v>
      </c>
      <c r="IT202" t="s">
        <v>1</v>
      </c>
      <c r="IW202" t="s">
        <v>1</v>
      </c>
      <c r="IX202" t="s">
        <v>1</v>
      </c>
      <c r="IY202" t="s">
        <v>1</v>
      </c>
      <c r="IZ202" t="s">
        <v>1</v>
      </c>
      <c r="JA202" t="s">
        <v>1</v>
      </c>
      <c r="JB202" s="3" t="s">
        <v>1</v>
      </c>
      <c r="JC202" t="s">
        <v>1</v>
      </c>
      <c r="JD202" s="4" t="s">
        <v>1</v>
      </c>
      <c r="JE202" t="s">
        <v>810</v>
      </c>
      <c r="JF202">
        <v>100</v>
      </c>
      <c r="JG202" t="s">
        <v>859</v>
      </c>
      <c r="JH202" t="s">
        <v>1387</v>
      </c>
      <c r="JI202" t="s">
        <v>946</v>
      </c>
      <c r="JJ202" t="s">
        <v>1421</v>
      </c>
      <c r="JK202" s="31" t="s">
        <v>1</v>
      </c>
      <c r="JL202" t="s">
        <v>947</v>
      </c>
      <c r="JM202" t="s">
        <v>948</v>
      </c>
      <c r="JN202" t="s">
        <v>1050</v>
      </c>
      <c r="JO202" s="30">
        <v>38589</v>
      </c>
      <c r="JP202" t="s">
        <v>1051</v>
      </c>
      <c r="JQ202" s="32" t="s">
        <v>1059</v>
      </c>
      <c r="JR202" t="s">
        <v>1066</v>
      </c>
      <c r="JS202" t="s">
        <v>1001</v>
      </c>
      <c r="JT202" t="s">
        <v>995</v>
      </c>
      <c r="JU202" t="s">
        <v>1</v>
      </c>
      <c r="JV202" t="s">
        <v>1423</v>
      </c>
      <c r="JW202" t="s">
        <v>842</v>
      </c>
      <c r="JX202">
        <v>0</v>
      </c>
      <c r="JY202">
        <v>80</v>
      </c>
      <c r="JZ202" t="s">
        <v>800</v>
      </c>
      <c r="KA202" t="s">
        <v>206</v>
      </c>
      <c r="KB202" t="s">
        <v>738</v>
      </c>
      <c r="KC202" t="s">
        <v>1</v>
      </c>
      <c r="KD202" t="s">
        <v>1</v>
      </c>
      <c r="KE202" t="s">
        <v>1</v>
      </c>
      <c r="KF202" t="s">
        <v>1</v>
      </c>
      <c r="KG202" t="s">
        <v>1</v>
      </c>
      <c r="KH202" t="s">
        <v>1</v>
      </c>
      <c r="KI202" t="s">
        <v>1</v>
      </c>
      <c r="KJ202" t="s">
        <v>1</v>
      </c>
      <c r="KK202" t="s">
        <v>1</v>
      </c>
    </row>
    <row r="203" spans="1:297" x14ac:dyDescent="0.2">
      <c r="A203" s="3" t="s">
        <v>884</v>
      </c>
      <c r="B203" t="s">
        <v>705</v>
      </c>
      <c r="C203" t="s">
        <v>920</v>
      </c>
      <c r="D203" t="s">
        <v>690</v>
      </c>
      <c r="E203">
        <v>29</v>
      </c>
      <c r="F203" t="s">
        <v>213</v>
      </c>
      <c r="G203" t="s">
        <v>1</v>
      </c>
      <c r="H203" s="26" t="s">
        <v>1420</v>
      </c>
      <c r="I203" t="s">
        <v>1</v>
      </c>
      <c r="J203" t="s">
        <v>1</v>
      </c>
      <c r="K203" t="s">
        <v>1</v>
      </c>
      <c r="L203" t="s">
        <v>1</v>
      </c>
      <c r="M203" t="s">
        <v>1</v>
      </c>
      <c r="N203" t="s">
        <v>1</v>
      </c>
      <c r="O203" t="s">
        <v>1</v>
      </c>
      <c r="P203" t="s">
        <v>1</v>
      </c>
      <c r="Q203" t="s">
        <v>1</v>
      </c>
      <c r="R203" t="s">
        <v>1</v>
      </c>
      <c r="S203" t="s">
        <v>1</v>
      </c>
      <c r="T203" t="s">
        <v>1</v>
      </c>
      <c r="U203" t="s">
        <v>1</v>
      </c>
      <c r="V203" t="s">
        <v>1</v>
      </c>
      <c r="W203" t="s">
        <v>1</v>
      </c>
      <c r="X203" t="s">
        <v>1</v>
      </c>
      <c r="Y203" t="s">
        <v>1</v>
      </c>
      <c r="Z203" t="s">
        <v>1</v>
      </c>
      <c r="AA203" t="s">
        <v>1</v>
      </c>
      <c r="AB203" t="s">
        <v>1</v>
      </c>
      <c r="AC203" t="s">
        <v>1</v>
      </c>
      <c r="AD203" t="s">
        <v>1</v>
      </c>
      <c r="AE203" t="s">
        <v>1</v>
      </c>
      <c r="AF203" t="s">
        <v>1</v>
      </c>
      <c r="AG203" t="s">
        <v>1</v>
      </c>
      <c r="AH203" t="s">
        <v>1</v>
      </c>
      <c r="AI203" t="s">
        <v>1</v>
      </c>
      <c r="AJ203" t="s">
        <v>1</v>
      </c>
      <c r="AK203" t="s">
        <v>1</v>
      </c>
      <c r="AL203" t="s">
        <v>1</v>
      </c>
      <c r="AM203" t="s">
        <v>1</v>
      </c>
      <c r="AN203" s="3" t="s">
        <v>884</v>
      </c>
      <c r="AO203" t="str">
        <f t="shared" si="25"/>
        <v>180-25</v>
      </c>
      <c r="AP203">
        <f t="shared" si="26"/>
        <v>29</v>
      </c>
      <c r="AQ203">
        <f t="shared" si="27"/>
        <v>29</v>
      </c>
      <c r="AR203" t="s">
        <v>1355</v>
      </c>
      <c r="AS203" t="s">
        <v>1356</v>
      </c>
      <c r="AT203" t="s">
        <v>714</v>
      </c>
      <c r="AU203" t="s">
        <v>1</v>
      </c>
      <c r="AV203" t="s">
        <v>1</v>
      </c>
      <c r="AW203">
        <v>58.37</v>
      </c>
      <c r="AX203">
        <v>13.48</v>
      </c>
      <c r="AY203" t="s">
        <v>737</v>
      </c>
      <c r="AZ203">
        <f t="shared" si="19"/>
        <v>5.3999999999999999E-2</v>
      </c>
      <c r="BA203" s="3">
        <f t="shared" si="20"/>
        <v>6</v>
      </c>
      <c r="BB203" s="10" t="s">
        <v>1355</v>
      </c>
      <c r="BC203" t="s">
        <v>1461</v>
      </c>
      <c r="BD203" s="30">
        <v>38589</v>
      </c>
      <c r="BE203" s="3" t="s">
        <v>932</v>
      </c>
      <c r="BF203" s="30">
        <v>38933</v>
      </c>
      <c r="BG203" s="19" t="s">
        <v>934</v>
      </c>
      <c r="BH203" s="19" t="s">
        <v>934</v>
      </c>
      <c r="BI203" s="19" t="s">
        <v>945</v>
      </c>
      <c r="BJ203" s="19" t="s">
        <v>934</v>
      </c>
      <c r="BK203" s="19" t="s">
        <v>945</v>
      </c>
      <c r="BL203" s="19" t="s">
        <v>945</v>
      </c>
      <c r="BM203" s="19" t="s">
        <v>945</v>
      </c>
      <c r="BN203" s="19" t="s">
        <v>934</v>
      </c>
      <c r="BO203" s="19" t="s">
        <v>934</v>
      </c>
      <c r="BP203" s="19" t="s">
        <v>945</v>
      </c>
      <c r="BQ203" s="24" t="s">
        <v>945</v>
      </c>
      <c r="BR203" s="24" t="s">
        <v>945</v>
      </c>
      <c r="BS203" s="24" t="s">
        <v>934</v>
      </c>
      <c r="BT203" s="24" t="s">
        <v>934</v>
      </c>
      <c r="BU203" s="24" t="s">
        <v>934</v>
      </c>
      <c r="BV203" s="24" t="s">
        <v>934</v>
      </c>
      <c r="BW203" s="24" t="s">
        <v>934</v>
      </c>
      <c r="BX203" s="24" t="s">
        <v>934</v>
      </c>
      <c r="BY203" s="25" t="s">
        <v>945</v>
      </c>
      <c r="BZ203" t="s">
        <v>1393</v>
      </c>
      <c r="CA203" t="s">
        <v>936</v>
      </c>
      <c r="CB203" t="s">
        <v>1</v>
      </c>
      <c r="CC203" s="4" t="s">
        <v>1</v>
      </c>
      <c r="CD203" s="4">
        <v>3</v>
      </c>
      <c r="CE203" s="4" t="s">
        <v>984</v>
      </c>
      <c r="CH203" t="s">
        <v>1</v>
      </c>
      <c r="CI203" s="28" t="s">
        <v>1</v>
      </c>
      <c r="CJ203" s="10" t="s">
        <v>1</v>
      </c>
      <c r="CK203" s="9" t="s">
        <v>1</v>
      </c>
      <c r="CL203" s="4" t="s">
        <v>1</v>
      </c>
      <c r="CM203" t="s">
        <v>1024</v>
      </c>
      <c r="CN203" s="4">
        <v>75</v>
      </c>
      <c r="CO203" s="22" t="s">
        <v>1029</v>
      </c>
      <c r="CP203" s="4" t="s">
        <v>1</v>
      </c>
      <c r="CQ203" s="4" t="s">
        <v>1</v>
      </c>
      <c r="CR203" s="4" t="s">
        <v>1</v>
      </c>
      <c r="CS203" s="4" t="s">
        <v>1</v>
      </c>
      <c r="CT203" s="4" t="s">
        <v>1</v>
      </c>
      <c r="CU203" s="4" t="s">
        <v>1</v>
      </c>
      <c r="CV203" t="s">
        <v>855</v>
      </c>
      <c r="CW203">
        <v>100</v>
      </c>
      <c r="CX203">
        <v>0</v>
      </c>
      <c r="CY203">
        <v>30</v>
      </c>
      <c r="CZ203" t="s">
        <v>1358</v>
      </c>
      <c r="DA203" t="s">
        <v>734</v>
      </c>
      <c r="DB203">
        <v>64</v>
      </c>
      <c r="DC203">
        <v>0</v>
      </c>
      <c r="DD203">
        <v>30</v>
      </c>
      <c r="DE203" t="s">
        <v>1358</v>
      </c>
      <c r="DF203" t="s">
        <v>735</v>
      </c>
      <c r="DG203">
        <v>22</v>
      </c>
      <c r="DH203">
        <v>0</v>
      </c>
      <c r="DI203">
        <v>30</v>
      </c>
      <c r="DJ203" t="s">
        <v>1358</v>
      </c>
      <c r="DK203" t="s">
        <v>736</v>
      </c>
      <c r="DL203">
        <v>14</v>
      </c>
      <c r="DM203">
        <v>0</v>
      </c>
      <c r="DN203">
        <v>30</v>
      </c>
      <c r="DO203" t="s">
        <v>1358</v>
      </c>
      <c r="DP203" t="s">
        <v>6</v>
      </c>
      <c r="DQ203" t="s">
        <v>813</v>
      </c>
      <c r="DR203">
        <v>6.4</v>
      </c>
      <c r="DS203">
        <v>0</v>
      </c>
      <c r="DT203">
        <v>30</v>
      </c>
      <c r="DU203" t="s">
        <v>1358</v>
      </c>
      <c r="DV203" t="s">
        <v>980</v>
      </c>
      <c r="DW203">
        <v>28</v>
      </c>
      <c r="DX203">
        <v>0</v>
      </c>
      <c r="DY203">
        <v>30</v>
      </c>
      <c r="DZ203" t="s">
        <v>1358</v>
      </c>
      <c r="EA203" t="s">
        <v>982</v>
      </c>
      <c r="EB203">
        <v>16</v>
      </c>
      <c r="EC203">
        <v>0</v>
      </c>
      <c r="ED203">
        <v>30</v>
      </c>
      <c r="EE203" t="s">
        <v>1358</v>
      </c>
      <c r="EG203" t="s">
        <v>981</v>
      </c>
      <c r="EH203">
        <f t="shared" si="21"/>
        <v>1.4</v>
      </c>
      <c r="EI203">
        <v>0</v>
      </c>
      <c r="EJ203">
        <v>30</v>
      </c>
      <c r="EK203" t="s">
        <v>1358</v>
      </c>
      <c r="EL203" t="s">
        <v>734</v>
      </c>
      <c r="EM203">
        <v>71</v>
      </c>
      <c r="EN203">
        <v>30</v>
      </c>
      <c r="EO203">
        <v>60</v>
      </c>
      <c r="EP203" t="s">
        <v>1358</v>
      </c>
      <c r="EQ203" t="s">
        <v>735</v>
      </c>
      <c r="ER203">
        <v>17</v>
      </c>
      <c r="ES203">
        <v>30</v>
      </c>
      <c r="ET203">
        <v>60</v>
      </c>
      <c r="EU203" t="s">
        <v>1358</v>
      </c>
      <c r="EV203" t="s">
        <v>736</v>
      </c>
      <c r="EW203">
        <v>12</v>
      </c>
      <c r="EX203">
        <v>30</v>
      </c>
      <c r="EY203">
        <v>60</v>
      </c>
      <c r="EZ203" t="s">
        <v>1358</v>
      </c>
      <c r="FA203" t="s">
        <v>980</v>
      </c>
      <c r="FB203">
        <v>25</v>
      </c>
      <c r="FC203">
        <v>30</v>
      </c>
      <c r="FD203">
        <v>60</v>
      </c>
      <c r="FE203" t="s">
        <v>1358</v>
      </c>
      <c r="FF203" t="s">
        <v>734</v>
      </c>
      <c r="FG203">
        <f t="shared" si="22"/>
        <v>67.34</v>
      </c>
      <c r="FH203">
        <v>60</v>
      </c>
      <c r="FI203">
        <v>90</v>
      </c>
      <c r="FJ203" t="s">
        <v>1358</v>
      </c>
      <c r="FK203" t="s">
        <v>735</v>
      </c>
      <c r="FL203">
        <f t="shared" si="23"/>
        <v>20.100000000000001</v>
      </c>
      <c r="FM203">
        <v>60</v>
      </c>
      <c r="FN203">
        <v>90</v>
      </c>
      <c r="FO203" t="s">
        <v>1358</v>
      </c>
      <c r="FP203" t="s">
        <v>736</v>
      </c>
      <c r="FQ203">
        <f t="shared" si="24"/>
        <v>12.56</v>
      </c>
      <c r="FR203">
        <v>60</v>
      </c>
      <c r="FS203">
        <v>90</v>
      </c>
      <c r="FT203" t="s">
        <v>1358</v>
      </c>
      <c r="FU203" t="s">
        <v>980</v>
      </c>
      <c r="FV203">
        <v>25</v>
      </c>
      <c r="FW203">
        <v>60</v>
      </c>
      <c r="FX203">
        <v>90</v>
      </c>
      <c r="FY203" t="s">
        <v>1358</v>
      </c>
      <c r="FZ203" t="s">
        <v>957</v>
      </c>
      <c r="GA203" t="s">
        <v>958</v>
      </c>
      <c r="GB203" t="s">
        <v>959</v>
      </c>
      <c r="GC203" t="s">
        <v>1</v>
      </c>
      <c r="GD203" t="s">
        <v>1</v>
      </c>
      <c r="GE203" s="26" t="s">
        <v>1358</v>
      </c>
      <c r="GF203" t="s">
        <v>957</v>
      </c>
      <c r="GG203" t="s">
        <v>961</v>
      </c>
      <c r="GH203" t="s">
        <v>960</v>
      </c>
      <c r="GI203" s="20">
        <v>1961</v>
      </c>
      <c r="GJ203" s="20">
        <v>1990</v>
      </c>
      <c r="GK203" s="26" t="s">
        <v>1358</v>
      </c>
      <c r="GL203" t="s">
        <v>953</v>
      </c>
      <c r="GM203" t="s">
        <v>955</v>
      </c>
      <c r="GN203" t="s">
        <v>954</v>
      </c>
      <c r="GO203" s="5" t="s">
        <v>956</v>
      </c>
      <c r="GP203" s="5" t="s">
        <v>1382</v>
      </c>
      <c r="GQ203" s="5" t="s">
        <v>962</v>
      </c>
      <c r="GR203" s="5" t="s">
        <v>963</v>
      </c>
      <c r="GS203" s="5" t="s">
        <v>959</v>
      </c>
      <c r="GT203" s="26" t="s">
        <v>1358</v>
      </c>
      <c r="GU203" s="5" t="s">
        <v>962</v>
      </c>
      <c r="GV203" s="5" t="s">
        <v>964</v>
      </c>
      <c r="GW203" s="5" t="s">
        <v>960</v>
      </c>
      <c r="GX203" s="20">
        <v>1961</v>
      </c>
      <c r="GY203" s="20">
        <v>1990</v>
      </c>
      <c r="GZ203" s="26" t="s">
        <v>1358</v>
      </c>
      <c r="HA203" s="5" t="s">
        <v>1</v>
      </c>
      <c r="HB203" s="5" t="s">
        <v>1</v>
      </c>
      <c r="HC203" s="5" t="s">
        <v>1</v>
      </c>
      <c r="HD203" s="5" t="s">
        <v>1</v>
      </c>
      <c r="HE203" t="s">
        <v>1</v>
      </c>
      <c r="HF203" s="5" t="s">
        <v>1</v>
      </c>
      <c r="HG203" s="5" t="s">
        <v>1</v>
      </c>
      <c r="HH203" s="5" t="s">
        <v>1</v>
      </c>
      <c r="HI203" s="5" t="s">
        <v>1</v>
      </c>
      <c r="HJ203" t="s">
        <v>1</v>
      </c>
      <c r="HK203" t="s">
        <v>1</v>
      </c>
      <c r="HL203" t="s">
        <v>1</v>
      </c>
      <c r="HM203" t="s">
        <v>1</v>
      </c>
      <c r="HN203" t="s">
        <v>1</v>
      </c>
      <c r="HO203" t="s">
        <v>1</v>
      </c>
      <c r="HP203" t="s">
        <v>1</v>
      </c>
      <c r="HQ203" t="s">
        <v>983</v>
      </c>
      <c r="HR203" t="s">
        <v>1046</v>
      </c>
      <c r="HS203" s="5" t="s">
        <v>1049</v>
      </c>
      <c r="HT203" s="28" t="s">
        <v>1425</v>
      </c>
      <c r="HU203" s="5" t="s">
        <v>842</v>
      </c>
      <c r="HV203" s="5" t="s">
        <v>1358</v>
      </c>
      <c r="HW203" t="s">
        <v>937</v>
      </c>
      <c r="HX203">
        <v>6.5</v>
      </c>
      <c r="HY203" s="30">
        <v>38589</v>
      </c>
      <c r="HZ203" t="s">
        <v>1295</v>
      </c>
      <c r="IA203">
        <f>60+150</f>
        <v>210</v>
      </c>
      <c r="IB203" s="10" t="s">
        <v>1</v>
      </c>
      <c r="IC203" s="10">
        <v>15</v>
      </c>
      <c r="ID203" s="10" t="s">
        <v>984</v>
      </c>
      <c r="IE203" s="10" t="s">
        <v>1</v>
      </c>
      <c r="IF203" s="10" t="s">
        <v>1</v>
      </c>
      <c r="IG203" t="s">
        <v>1310</v>
      </c>
      <c r="IH203" s="10">
        <f t="shared" si="28"/>
        <v>114.5</v>
      </c>
      <c r="II203" s="10" t="s">
        <v>1</v>
      </c>
      <c r="IJ203" s="10" t="s">
        <v>1</v>
      </c>
      <c r="IK203" t="s">
        <v>1311</v>
      </c>
      <c r="IL203" s="10">
        <f t="shared" si="29"/>
        <v>67.2</v>
      </c>
      <c r="IM203" s="10" t="s">
        <v>1</v>
      </c>
      <c r="IN203" s="10" t="s">
        <v>1</v>
      </c>
      <c r="IO203" s="10" t="s">
        <v>1319</v>
      </c>
      <c r="IP203" s="10">
        <v>15</v>
      </c>
      <c r="IQ203" s="10" t="s">
        <v>1</v>
      </c>
      <c r="IR203" s="10" t="s">
        <v>1</v>
      </c>
      <c r="IS203" t="s">
        <v>1</v>
      </c>
      <c r="IT203" t="s">
        <v>1</v>
      </c>
      <c r="IW203" t="s">
        <v>1</v>
      </c>
      <c r="IX203" t="s">
        <v>1</v>
      </c>
      <c r="IY203" t="s">
        <v>1</v>
      </c>
      <c r="IZ203" t="s">
        <v>1</v>
      </c>
      <c r="JA203" t="s">
        <v>1</v>
      </c>
      <c r="JB203" s="3" t="s">
        <v>1</v>
      </c>
      <c r="JC203" t="s">
        <v>1</v>
      </c>
      <c r="JD203" s="4" t="s">
        <v>1</v>
      </c>
      <c r="JE203" t="s">
        <v>810</v>
      </c>
      <c r="JF203">
        <v>100</v>
      </c>
      <c r="JG203" t="s">
        <v>859</v>
      </c>
      <c r="JH203" t="s">
        <v>1387</v>
      </c>
      <c r="JI203" t="s">
        <v>946</v>
      </c>
      <c r="JJ203" t="s">
        <v>1421</v>
      </c>
      <c r="JK203" s="31" t="s">
        <v>1</v>
      </c>
      <c r="JL203" t="s">
        <v>947</v>
      </c>
      <c r="JM203" t="s">
        <v>948</v>
      </c>
      <c r="JN203" t="s">
        <v>1050</v>
      </c>
      <c r="JO203" s="30">
        <v>38589</v>
      </c>
      <c r="JP203" t="s">
        <v>1051</v>
      </c>
      <c r="JQ203" s="32" t="s">
        <v>1059</v>
      </c>
      <c r="JR203" t="s">
        <v>1066</v>
      </c>
      <c r="JS203" t="s">
        <v>1002</v>
      </c>
      <c r="JT203" t="s">
        <v>995</v>
      </c>
      <c r="JU203" t="s">
        <v>1</v>
      </c>
      <c r="JV203" t="s">
        <v>1423</v>
      </c>
      <c r="JW203" t="s">
        <v>842</v>
      </c>
      <c r="JX203">
        <v>0</v>
      </c>
      <c r="JY203">
        <v>80</v>
      </c>
      <c r="JZ203" t="s">
        <v>800</v>
      </c>
      <c r="KA203" t="s">
        <v>206</v>
      </c>
      <c r="KB203" t="s">
        <v>738</v>
      </c>
      <c r="KC203" t="s">
        <v>1</v>
      </c>
      <c r="KD203" t="s">
        <v>1</v>
      </c>
      <c r="KE203" t="s">
        <v>1</v>
      </c>
      <c r="KF203" t="s">
        <v>1</v>
      </c>
      <c r="KG203" t="s">
        <v>1</v>
      </c>
      <c r="KH203" t="s">
        <v>1</v>
      </c>
      <c r="KI203" t="s">
        <v>1</v>
      </c>
      <c r="KJ203" t="s">
        <v>1</v>
      </c>
      <c r="KK203" t="s">
        <v>1</v>
      </c>
    </row>
    <row r="204" spans="1:297" x14ac:dyDescent="0.2">
      <c r="A204" s="3" t="s">
        <v>885</v>
      </c>
      <c r="B204" t="s">
        <v>705</v>
      </c>
      <c r="C204" t="s">
        <v>921</v>
      </c>
      <c r="D204" t="s">
        <v>690</v>
      </c>
      <c r="E204">
        <v>29</v>
      </c>
      <c r="F204" t="s">
        <v>213</v>
      </c>
      <c r="G204" t="s">
        <v>1</v>
      </c>
      <c r="H204" s="26" t="s">
        <v>1420</v>
      </c>
      <c r="I204" t="s">
        <v>1</v>
      </c>
      <c r="J204" t="s">
        <v>1</v>
      </c>
      <c r="K204" t="s">
        <v>1</v>
      </c>
      <c r="L204" t="s">
        <v>1</v>
      </c>
      <c r="M204" t="s">
        <v>1</v>
      </c>
      <c r="N204" t="s">
        <v>1</v>
      </c>
      <c r="O204" t="s">
        <v>1</v>
      </c>
      <c r="P204" t="s">
        <v>1</v>
      </c>
      <c r="Q204" t="s">
        <v>1</v>
      </c>
      <c r="R204" t="s">
        <v>1</v>
      </c>
      <c r="S204" t="s">
        <v>1</v>
      </c>
      <c r="T204" t="s">
        <v>1</v>
      </c>
      <c r="U204" t="s">
        <v>1</v>
      </c>
      <c r="V204" t="s">
        <v>1</v>
      </c>
      <c r="W204" t="s">
        <v>1</v>
      </c>
      <c r="X204" t="s">
        <v>1</v>
      </c>
      <c r="Y204" t="s">
        <v>1</v>
      </c>
      <c r="Z204" t="s">
        <v>1</v>
      </c>
      <c r="AA204" t="s">
        <v>1</v>
      </c>
      <c r="AB204" t="s">
        <v>1</v>
      </c>
      <c r="AC204" t="s">
        <v>1</v>
      </c>
      <c r="AD204" t="s">
        <v>1</v>
      </c>
      <c r="AE204" t="s">
        <v>1</v>
      </c>
      <c r="AF204" t="s">
        <v>1</v>
      </c>
      <c r="AG204" t="s">
        <v>1</v>
      </c>
      <c r="AH204" t="s">
        <v>1</v>
      </c>
      <c r="AI204" t="s">
        <v>1</v>
      </c>
      <c r="AJ204" t="s">
        <v>1</v>
      </c>
      <c r="AK204" t="s">
        <v>1</v>
      </c>
      <c r="AL204" t="s">
        <v>1</v>
      </c>
      <c r="AM204" t="s">
        <v>1</v>
      </c>
      <c r="AN204" s="3" t="s">
        <v>885</v>
      </c>
      <c r="AO204" t="str">
        <f t="shared" si="25"/>
        <v>180-26</v>
      </c>
      <c r="AP204">
        <f t="shared" si="26"/>
        <v>29</v>
      </c>
      <c r="AQ204">
        <f t="shared" si="27"/>
        <v>29</v>
      </c>
      <c r="AR204" t="s">
        <v>1355</v>
      </c>
      <c r="AS204" t="s">
        <v>1356</v>
      </c>
      <c r="AT204" t="s">
        <v>714</v>
      </c>
      <c r="AU204" t="s">
        <v>1</v>
      </c>
      <c r="AV204" t="s">
        <v>1</v>
      </c>
      <c r="AW204">
        <v>58.37</v>
      </c>
      <c r="AX204">
        <v>13.48</v>
      </c>
      <c r="AY204" t="s">
        <v>737</v>
      </c>
      <c r="AZ204">
        <f t="shared" si="19"/>
        <v>5.3999999999999999E-2</v>
      </c>
      <c r="BA204" s="3">
        <f t="shared" si="20"/>
        <v>6</v>
      </c>
      <c r="BB204" s="10" t="s">
        <v>1355</v>
      </c>
      <c r="BC204" t="s">
        <v>1461</v>
      </c>
      <c r="BD204" s="30">
        <v>38589</v>
      </c>
      <c r="BE204" s="3" t="s">
        <v>932</v>
      </c>
      <c r="BF204" s="30">
        <v>38933</v>
      </c>
      <c r="BG204" s="19" t="s">
        <v>934</v>
      </c>
      <c r="BH204" s="19" t="s">
        <v>934</v>
      </c>
      <c r="BI204" s="19" t="s">
        <v>945</v>
      </c>
      <c r="BJ204" s="19" t="s">
        <v>934</v>
      </c>
      <c r="BK204" s="19" t="s">
        <v>945</v>
      </c>
      <c r="BL204" s="19" t="s">
        <v>945</v>
      </c>
      <c r="BM204" s="19" t="s">
        <v>945</v>
      </c>
      <c r="BN204" s="19" t="s">
        <v>934</v>
      </c>
      <c r="BO204" s="19" t="s">
        <v>934</v>
      </c>
      <c r="BP204" s="19" t="s">
        <v>945</v>
      </c>
      <c r="BQ204" s="24" t="s">
        <v>945</v>
      </c>
      <c r="BR204" s="24" t="s">
        <v>945</v>
      </c>
      <c r="BS204" s="24" t="s">
        <v>934</v>
      </c>
      <c r="BT204" s="24" t="s">
        <v>934</v>
      </c>
      <c r="BU204" s="24" t="s">
        <v>934</v>
      </c>
      <c r="BV204" s="24" t="s">
        <v>934</v>
      </c>
      <c r="BW204" s="24" t="s">
        <v>934</v>
      </c>
      <c r="BX204" s="24" t="s">
        <v>934</v>
      </c>
      <c r="BY204" s="25" t="s">
        <v>945</v>
      </c>
      <c r="BZ204" t="s">
        <v>1393</v>
      </c>
      <c r="CA204" t="s">
        <v>936</v>
      </c>
      <c r="CB204" t="s">
        <v>1</v>
      </c>
      <c r="CC204" s="4" t="s">
        <v>1</v>
      </c>
      <c r="CD204" s="4">
        <v>3</v>
      </c>
      <c r="CE204" s="4" t="s">
        <v>984</v>
      </c>
      <c r="CH204" t="s">
        <v>1</v>
      </c>
      <c r="CI204" s="28" t="s">
        <v>1</v>
      </c>
      <c r="CJ204" s="10" t="s">
        <v>1</v>
      </c>
      <c r="CK204" s="9" t="s">
        <v>1</v>
      </c>
      <c r="CL204" s="4" t="s">
        <v>1</v>
      </c>
      <c r="CM204" t="s">
        <v>1024</v>
      </c>
      <c r="CN204" s="4">
        <v>75</v>
      </c>
      <c r="CO204" s="22" t="s">
        <v>1029</v>
      </c>
      <c r="CP204" s="4" t="s">
        <v>1</v>
      </c>
      <c r="CQ204" s="4" t="s">
        <v>1</v>
      </c>
      <c r="CR204" s="4" t="s">
        <v>1</v>
      </c>
      <c r="CS204" s="4" t="s">
        <v>1</v>
      </c>
      <c r="CT204" s="4" t="s">
        <v>1</v>
      </c>
      <c r="CU204" s="4" t="s">
        <v>1</v>
      </c>
      <c r="CV204" t="s">
        <v>855</v>
      </c>
      <c r="CW204">
        <v>100</v>
      </c>
      <c r="CX204">
        <v>0</v>
      </c>
      <c r="CY204">
        <v>30</v>
      </c>
      <c r="CZ204" t="s">
        <v>1358</v>
      </c>
      <c r="DA204" t="s">
        <v>734</v>
      </c>
      <c r="DB204">
        <v>64</v>
      </c>
      <c r="DC204">
        <v>0</v>
      </c>
      <c r="DD204">
        <v>30</v>
      </c>
      <c r="DE204" t="s">
        <v>1358</v>
      </c>
      <c r="DF204" t="s">
        <v>735</v>
      </c>
      <c r="DG204">
        <v>22</v>
      </c>
      <c r="DH204">
        <v>0</v>
      </c>
      <c r="DI204">
        <v>30</v>
      </c>
      <c r="DJ204" t="s">
        <v>1358</v>
      </c>
      <c r="DK204" t="s">
        <v>736</v>
      </c>
      <c r="DL204">
        <v>14</v>
      </c>
      <c r="DM204">
        <v>0</v>
      </c>
      <c r="DN204">
        <v>30</v>
      </c>
      <c r="DO204" t="s">
        <v>1358</v>
      </c>
      <c r="DP204" t="s">
        <v>6</v>
      </c>
      <c r="DQ204" t="s">
        <v>813</v>
      </c>
      <c r="DR204">
        <v>6.4</v>
      </c>
      <c r="DS204">
        <v>0</v>
      </c>
      <c r="DT204">
        <v>30</v>
      </c>
      <c r="DU204" t="s">
        <v>1358</v>
      </c>
      <c r="DV204" t="s">
        <v>980</v>
      </c>
      <c r="DW204">
        <v>28</v>
      </c>
      <c r="DX204">
        <v>0</v>
      </c>
      <c r="DY204">
        <v>30</v>
      </c>
      <c r="DZ204" t="s">
        <v>1358</v>
      </c>
      <c r="EA204" t="s">
        <v>982</v>
      </c>
      <c r="EB204">
        <v>16</v>
      </c>
      <c r="EC204">
        <v>0</v>
      </c>
      <c r="ED204">
        <v>30</v>
      </c>
      <c r="EE204" t="s">
        <v>1358</v>
      </c>
      <c r="EG204" t="s">
        <v>981</v>
      </c>
      <c r="EH204">
        <f t="shared" si="21"/>
        <v>1.4</v>
      </c>
      <c r="EI204">
        <v>0</v>
      </c>
      <c r="EJ204">
        <v>30</v>
      </c>
      <c r="EK204" t="s">
        <v>1358</v>
      </c>
      <c r="EL204" t="s">
        <v>734</v>
      </c>
      <c r="EM204">
        <v>71</v>
      </c>
      <c r="EN204">
        <v>30</v>
      </c>
      <c r="EO204">
        <v>60</v>
      </c>
      <c r="EP204" t="s">
        <v>1358</v>
      </c>
      <c r="EQ204" t="s">
        <v>735</v>
      </c>
      <c r="ER204">
        <v>17</v>
      </c>
      <c r="ES204">
        <v>30</v>
      </c>
      <c r="ET204">
        <v>60</v>
      </c>
      <c r="EU204" t="s">
        <v>1358</v>
      </c>
      <c r="EV204" t="s">
        <v>736</v>
      </c>
      <c r="EW204">
        <v>12</v>
      </c>
      <c r="EX204">
        <v>30</v>
      </c>
      <c r="EY204">
        <v>60</v>
      </c>
      <c r="EZ204" t="s">
        <v>1358</v>
      </c>
      <c r="FA204" t="s">
        <v>980</v>
      </c>
      <c r="FB204">
        <v>25</v>
      </c>
      <c r="FC204">
        <v>30</v>
      </c>
      <c r="FD204">
        <v>60</v>
      </c>
      <c r="FE204" t="s">
        <v>1358</v>
      </c>
      <c r="FF204" t="s">
        <v>734</v>
      </c>
      <c r="FG204">
        <f t="shared" si="22"/>
        <v>67.34</v>
      </c>
      <c r="FH204">
        <v>60</v>
      </c>
      <c r="FI204">
        <v>90</v>
      </c>
      <c r="FJ204" t="s">
        <v>1358</v>
      </c>
      <c r="FK204" t="s">
        <v>735</v>
      </c>
      <c r="FL204">
        <f t="shared" si="23"/>
        <v>20.100000000000001</v>
      </c>
      <c r="FM204">
        <v>60</v>
      </c>
      <c r="FN204">
        <v>90</v>
      </c>
      <c r="FO204" t="s">
        <v>1358</v>
      </c>
      <c r="FP204" t="s">
        <v>736</v>
      </c>
      <c r="FQ204">
        <f t="shared" si="24"/>
        <v>12.56</v>
      </c>
      <c r="FR204">
        <v>60</v>
      </c>
      <c r="FS204">
        <v>90</v>
      </c>
      <c r="FT204" t="s">
        <v>1358</v>
      </c>
      <c r="FU204" t="s">
        <v>980</v>
      </c>
      <c r="FV204">
        <v>25</v>
      </c>
      <c r="FW204">
        <v>60</v>
      </c>
      <c r="FX204">
        <v>90</v>
      </c>
      <c r="FY204" t="s">
        <v>1358</v>
      </c>
      <c r="FZ204" t="s">
        <v>957</v>
      </c>
      <c r="GA204" t="s">
        <v>958</v>
      </c>
      <c r="GB204" t="s">
        <v>959</v>
      </c>
      <c r="GC204" t="s">
        <v>1</v>
      </c>
      <c r="GD204" t="s">
        <v>1</v>
      </c>
      <c r="GE204" s="26" t="s">
        <v>1358</v>
      </c>
      <c r="GF204" t="s">
        <v>957</v>
      </c>
      <c r="GG204" t="s">
        <v>961</v>
      </c>
      <c r="GH204" t="s">
        <v>960</v>
      </c>
      <c r="GI204" s="20">
        <v>1961</v>
      </c>
      <c r="GJ204" s="20">
        <v>1990</v>
      </c>
      <c r="GK204" s="26" t="s">
        <v>1358</v>
      </c>
      <c r="GL204" t="s">
        <v>953</v>
      </c>
      <c r="GM204" t="s">
        <v>955</v>
      </c>
      <c r="GN204" t="s">
        <v>954</v>
      </c>
      <c r="GO204" s="5" t="s">
        <v>956</v>
      </c>
      <c r="GP204" s="5" t="s">
        <v>1382</v>
      </c>
      <c r="GQ204" s="5" t="s">
        <v>962</v>
      </c>
      <c r="GR204" s="5" t="s">
        <v>963</v>
      </c>
      <c r="GS204" s="5" t="s">
        <v>959</v>
      </c>
      <c r="GT204" s="26" t="s">
        <v>1358</v>
      </c>
      <c r="GU204" s="5" t="s">
        <v>962</v>
      </c>
      <c r="GV204" s="5" t="s">
        <v>964</v>
      </c>
      <c r="GW204" s="5" t="s">
        <v>960</v>
      </c>
      <c r="GX204" s="20">
        <v>1961</v>
      </c>
      <c r="GY204" s="20">
        <v>1990</v>
      </c>
      <c r="GZ204" s="26" t="s">
        <v>1358</v>
      </c>
      <c r="HA204" s="5" t="s">
        <v>1</v>
      </c>
      <c r="HB204" s="5" t="s">
        <v>1</v>
      </c>
      <c r="HC204" s="5" t="s">
        <v>1</v>
      </c>
      <c r="HD204" s="5" t="s">
        <v>1</v>
      </c>
      <c r="HE204" t="s">
        <v>1</v>
      </c>
      <c r="HF204" s="5" t="s">
        <v>1</v>
      </c>
      <c r="HG204" s="5" t="s">
        <v>1</v>
      </c>
      <c r="HH204" s="5" t="s">
        <v>1</v>
      </c>
      <c r="HI204" s="5" t="s">
        <v>1</v>
      </c>
      <c r="HJ204" t="s">
        <v>1</v>
      </c>
      <c r="HK204" t="s">
        <v>1</v>
      </c>
      <c r="HL204" t="s">
        <v>1</v>
      </c>
      <c r="HM204" t="s">
        <v>1</v>
      </c>
      <c r="HN204" t="s">
        <v>1</v>
      </c>
      <c r="HO204" t="s">
        <v>1</v>
      </c>
      <c r="HP204" t="s">
        <v>1</v>
      </c>
      <c r="HQ204" t="s">
        <v>983</v>
      </c>
      <c r="HR204" t="s">
        <v>1047</v>
      </c>
      <c r="HS204" s="5" t="s">
        <v>1049</v>
      </c>
      <c r="HT204" s="28" t="s">
        <v>1425</v>
      </c>
      <c r="HU204" s="5" t="s">
        <v>842</v>
      </c>
      <c r="HV204" s="5" t="s">
        <v>1358</v>
      </c>
      <c r="HW204" t="s">
        <v>937</v>
      </c>
      <c r="HX204">
        <v>6.5</v>
      </c>
      <c r="HY204" s="30">
        <v>38589</v>
      </c>
      <c r="HZ204" t="s">
        <v>1295</v>
      </c>
      <c r="IA204">
        <f>60+200</f>
        <v>260</v>
      </c>
      <c r="IB204" s="10" t="s">
        <v>1</v>
      </c>
      <c r="IC204" s="10">
        <v>15</v>
      </c>
      <c r="ID204" s="10" t="s">
        <v>984</v>
      </c>
      <c r="IE204" s="10" t="s">
        <v>1</v>
      </c>
      <c r="IF204" s="10" t="s">
        <v>1</v>
      </c>
      <c r="IG204" t="s">
        <v>1310</v>
      </c>
      <c r="IH204" s="10">
        <f t="shared" si="28"/>
        <v>114.5</v>
      </c>
      <c r="II204" s="10" t="s">
        <v>1</v>
      </c>
      <c r="IJ204" s="10" t="s">
        <v>1</v>
      </c>
      <c r="IK204" t="s">
        <v>1311</v>
      </c>
      <c r="IL204" s="10">
        <f t="shared" si="29"/>
        <v>67.2</v>
      </c>
      <c r="IM204" s="10" t="s">
        <v>1</v>
      </c>
      <c r="IN204" s="10" t="s">
        <v>1</v>
      </c>
      <c r="IO204" s="10" t="s">
        <v>1319</v>
      </c>
      <c r="IP204" s="10">
        <v>15</v>
      </c>
      <c r="IQ204" s="10" t="s">
        <v>1</v>
      </c>
      <c r="IR204" s="10" t="s">
        <v>1</v>
      </c>
      <c r="IS204" t="s">
        <v>1</v>
      </c>
      <c r="IT204" t="s">
        <v>1</v>
      </c>
      <c r="IW204" t="s">
        <v>1</v>
      </c>
      <c r="IX204" t="s">
        <v>1</v>
      </c>
      <c r="IY204" t="s">
        <v>1</v>
      </c>
      <c r="IZ204" t="s">
        <v>1</v>
      </c>
      <c r="JA204" t="s">
        <v>1</v>
      </c>
      <c r="JB204" s="3" t="s">
        <v>1</v>
      </c>
      <c r="JC204" t="s">
        <v>1</v>
      </c>
      <c r="JD204" s="4" t="s">
        <v>1</v>
      </c>
      <c r="JE204" t="s">
        <v>810</v>
      </c>
      <c r="JF204">
        <v>100</v>
      </c>
      <c r="JG204" t="s">
        <v>859</v>
      </c>
      <c r="JH204" t="s">
        <v>1387</v>
      </c>
      <c r="JI204" t="s">
        <v>946</v>
      </c>
      <c r="JJ204" t="s">
        <v>1421</v>
      </c>
      <c r="JK204" s="31" t="s">
        <v>1</v>
      </c>
      <c r="JL204" t="s">
        <v>947</v>
      </c>
      <c r="JM204" t="s">
        <v>948</v>
      </c>
      <c r="JN204" t="s">
        <v>1050</v>
      </c>
      <c r="JO204" s="30">
        <v>38589</v>
      </c>
      <c r="JP204" t="s">
        <v>1051</v>
      </c>
      <c r="JQ204" s="32" t="s">
        <v>1059</v>
      </c>
      <c r="JR204" t="s">
        <v>1066</v>
      </c>
      <c r="JS204" t="s">
        <v>1003</v>
      </c>
      <c r="JT204" t="s">
        <v>995</v>
      </c>
      <c r="JU204" t="s">
        <v>1</v>
      </c>
      <c r="JV204" t="s">
        <v>1423</v>
      </c>
      <c r="JW204" t="s">
        <v>842</v>
      </c>
      <c r="JX204">
        <v>0</v>
      </c>
      <c r="JY204">
        <v>80</v>
      </c>
      <c r="JZ204" t="s">
        <v>800</v>
      </c>
      <c r="KA204" t="s">
        <v>206</v>
      </c>
      <c r="KB204" t="s">
        <v>738</v>
      </c>
      <c r="KC204" t="s">
        <v>1</v>
      </c>
      <c r="KD204" t="s">
        <v>1</v>
      </c>
      <c r="KE204" t="s">
        <v>1</v>
      </c>
      <c r="KF204" t="s">
        <v>1</v>
      </c>
      <c r="KG204" t="s">
        <v>1</v>
      </c>
      <c r="KH204" t="s">
        <v>1</v>
      </c>
      <c r="KI204" t="s">
        <v>1</v>
      </c>
      <c r="KJ204" t="s">
        <v>1</v>
      </c>
      <c r="KK204" t="s">
        <v>1</v>
      </c>
    </row>
    <row r="205" spans="1:297" x14ac:dyDescent="0.2">
      <c r="A205" s="3" t="s">
        <v>886</v>
      </c>
      <c r="B205" t="s">
        <v>705</v>
      </c>
      <c r="C205" t="s">
        <v>922</v>
      </c>
      <c r="D205" t="s">
        <v>690</v>
      </c>
      <c r="E205">
        <v>29</v>
      </c>
      <c r="F205" t="s">
        <v>213</v>
      </c>
      <c r="G205" t="s">
        <v>1</v>
      </c>
      <c r="H205" s="26" t="s">
        <v>1420</v>
      </c>
      <c r="I205" t="s">
        <v>1</v>
      </c>
      <c r="J205" t="s">
        <v>1</v>
      </c>
      <c r="K205" t="s">
        <v>1</v>
      </c>
      <c r="L205" t="s">
        <v>1</v>
      </c>
      <c r="M205" t="s">
        <v>1</v>
      </c>
      <c r="N205" t="s">
        <v>1</v>
      </c>
      <c r="O205" t="s">
        <v>1</v>
      </c>
      <c r="P205" t="s">
        <v>1</v>
      </c>
      <c r="Q205" t="s">
        <v>1</v>
      </c>
      <c r="R205" t="s">
        <v>1</v>
      </c>
      <c r="S205" t="s">
        <v>1</v>
      </c>
      <c r="T205" t="s">
        <v>1</v>
      </c>
      <c r="U205" t="s">
        <v>1</v>
      </c>
      <c r="V205" t="s">
        <v>1</v>
      </c>
      <c r="W205" t="s">
        <v>1</v>
      </c>
      <c r="X205" t="s">
        <v>1</v>
      </c>
      <c r="Y205" t="s">
        <v>1</v>
      </c>
      <c r="Z205" t="s">
        <v>1</v>
      </c>
      <c r="AA205" t="s">
        <v>1</v>
      </c>
      <c r="AB205" t="s">
        <v>1</v>
      </c>
      <c r="AC205" t="s">
        <v>1</v>
      </c>
      <c r="AD205" t="s">
        <v>1</v>
      </c>
      <c r="AE205" t="s">
        <v>1</v>
      </c>
      <c r="AF205" t="s">
        <v>1</v>
      </c>
      <c r="AG205" t="s">
        <v>1</v>
      </c>
      <c r="AH205" t="s">
        <v>1</v>
      </c>
      <c r="AI205" t="s">
        <v>1</v>
      </c>
      <c r="AJ205" t="s">
        <v>1</v>
      </c>
      <c r="AK205" t="s">
        <v>1</v>
      </c>
      <c r="AL205" t="s">
        <v>1</v>
      </c>
      <c r="AM205" t="s">
        <v>1</v>
      </c>
      <c r="AN205" s="3" t="s">
        <v>886</v>
      </c>
      <c r="AO205" t="str">
        <f t="shared" si="25"/>
        <v>180-27</v>
      </c>
      <c r="AP205">
        <f t="shared" si="26"/>
        <v>29</v>
      </c>
      <c r="AQ205">
        <f t="shared" si="27"/>
        <v>29</v>
      </c>
      <c r="AR205" t="s">
        <v>1355</v>
      </c>
      <c r="AS205" t="s">
        <v>1356</v>
      </c>
      <c r="AT205" t="s">
        <v>714</v>
      </c>
      <c r="AU205" t="s">
        <v>1</v>
      </c>
      <c r="AV205" t="s">
        <v>1</v>
      </c>
      <c r="AW205">
        <v>58.37</v>
      </c>
      <c r="AX205">
        <v>13.48</v>
      </c>
      <c r="AY205" t="s">
        <v>737</v>
      </c>
      <c r="AZ205">
        <f t="shared" si="19"/>
        <v>5.3999999999999999E-2</v>
      </c>
      <c r="BA205" s="3">
        <f t="shared" si="20"/>
        <v>6</v>
      </c>
      <c r="BB205" s="10" t="s">
        <v>1355</v>
      </c>
      <c r="BC205" t="s">
        <v>1461</v>
      </c>
      <c r="BD205" s="30">
        <v>38589</v>
      </c>
      <c r="BE205" s="3" t="s">
        <v>932</v>
      </c>
      <c r="BF205" s="30">
        <v>38933</v>
      </c>
      <c r="BG205" s="19" t="s">
        <v>934</v>
      </c>
      <c r="BH205" s="19" t="s">
        <v>934</v>
      </c>
      <c r="BI205" s="19" t="s">
        <v>945</v>
      </c>
      <c r="BJ205" s="19" t="s">
        <v>934</v>
      </c>
      <c r="BK205" s="19" t="s">
        <v>945</v>
      </c>
      <c r="BL205" s="19" t="s">
        <v>945</v>
      </c>
      <c r="BM205" s="19" t="s">
        <v>945</v>
      </c>
      <c r="BN205" s="19" t="s">
        <v>934</v>
      </c>
      <c r="BO205" s="19" t="s">
        <v>934</v>
      </c>
      <c r="BP205" s="19" t="s">
        <v>945</v>
      </c>
      <c r="BQ205" s="24" t="s">
        <v>945</v>
      </c>
      <c r="BR205" s="24" t="s">
        <v>945</v>
      </c>
      <c r="BS205" s="24" t="s">
        <v>934</v>
      </c>
      <c r="BT205" s="24" t="s">
        <v>934</v>
      </c>
      <c r="BU205" s="24" t="s">
        <v>934</v>
      </c>
      <c r="BV205" s="24" t="s">
        <v>934</v>
      </c>
      <c r="BW205" s="24" t="s">
        <v>934</v>
      </c>
      <c r="BX205" s="24" t="s">
        <v>934</v>
      </c>
      <c r="BY205" s="25" t="s">
        <v>945</v>
      </c>
      <c r="BZ205" t="s">
        <v>1393</v>
      </c>
      <c r="CA205" t="s">
        <v>936</v>
      </c>
      <c r="CB205" t="s">
        <v>1</v>
      </c>
      <c r="CC205" s="4" t="s">
        <v>1</v>
      </c>
      <c r="CD205" s="4">
        <v>3</v>
      </c>
      <c r="CE205" s="4" t="s">
        <v>984</v>
      </c>
      <c r="CH205" t="s">
        <v>1</v>
      </c>
      <c r="CI205" s="28" t="s">
        <v>1</v>
      </c>
      <c r="CJ205" s="10" t="s">
        <v>1</v>
      </c>
      <c r="CK205" s="9" t="s">
        <v>1</v>
      </c>
      <c r="CL205" s="4" t="s">
        <v>1</v>
      </c>
      <c r="CM205" t="s">
        <v>1024</v>
      </c>
      <c r="CN205" s="4">
        <v>75</v>
      </c>
      <c r="CO205" s="22" t="s">
        <v>1029</v>
      </c>
      <c r="CP205" s="4" t="s">
        <v>1</v>
      </c>
      <c r="CQ205" s="4" t="s">
        <v>1</v>
      </c>
      <c r="CR205" s="4" t="s">
        <v>1</v>
      </c>
      <c r="CS205" s="4" t="s">
        <v>1</v>
      </c>
      <c r="CT205" s="4" t="s">
        <v>1</v>
      </c>
      <c r="CU205" s="4" t="s">
        <v>1</v>
      </c>
      <c r="CV205" t="s">
        <v>855</v>
      </c>
      <c r="CW205">
        <v>100</v>
      </c>
      <c r="CX205">
        <v>0</v>
      </c>
      <c r="CY205">
        <v>30</v>
      </c>
      <c r="CZ205" t="s">
        <v>1358</v>
      </c>
      <c r="DA205" t="s">
        <v>734</v>
      </c>
      <c r="DB205">
        <v>64</v>
      </c>
      <c r="DC205">
        <v>0</v>
      </c>
      <c r="DD205">
        <v>30</v>
      </c>
      <c r="DE205" t="s">
        <v>1358</v>
      </c>
      <c r="DF205" t="s">
        <v>735</v>
      </c>
      <c r="DG205">
        <v>22</v>
      </c>
      <c r="DH205">
        <v>0</v>
      </c>
      <c r="DI205">
        <v>30</v>
      </c>
      <c r="DJ205" t="s">
        <v>1358</v>
      </c>
      <c r="DK205" t="s">
        <v>736</v>
      </c>
      <c r="DL205">
        <v>14</v>
      </c>
      <c r="DM205">
        <v>0</v>
      </c>
      <c r="DN205">
        <v>30</v>
      </c>
      <c r="DO205" t="s">
        <v>1358</v>
      </c>
      <c r="DP205" t="s">
        <v>6</v>
      </c>
      <c r="DQ205" t="s">
        <v>813</v>
      </c>
      <c r="DR205">
        <v>6.4</v>
      </c>
      <c r="DS205">
        <v>0</v>
      </c>
      <c r="DT205">
        <v>30</v>
      </c>
      <c r="DU205" t="s">
        <v>1358</v>
      </c>
      <c r="DV205" t="s">
        <v>980</v>
      </c>
      <c r="DW205">
        <v>28</v>
      </c>
      <c r="DX205">
        <v>0</v>
      </c>
      <c r="DY205">
        <v>30</v>
      </c>
      <c r="DZ205" t="s">
        <v>1358</v>
      </c>
      <c r="EA205" t="s">
        <v>982</v>
      </c>
      <c r="EB205">
        <v>16</v>
      </c>
      <c r="EC205">
        <v>0</v>
      </c>
      <c r="ED205">
        <v>30</v>
      </c>
      <c r="EE205" t="s">
        <v>1358</v>
      </c>
      <c r="EG205" t="s">
        <v>981</v>
      </c>
      <c r="EH205">
        <f t="shared" si="21"/>
        <v>1.4</v>
      </c>
      <c r="EI205">
        <v>0</v>
      </c>
      <c r="EJ205">
        <v>30</v>
      </c>
      <c r="EK205" t="s">
        <v>1358</v>
      </c>
      <c r="EL205" t="s">
        <v>734</v>
      </c>
      <c r="EM205">
        <v>71</v>
      </c>
      <c r="EN205">
        <v>30</v>
      </c>
      <c r="EO205">
        <v>60</v>
      </c>
      <c r="EP205" t="s">
        <v>1358</v>
      </c>
      <c r="EQ205" t="s">
        <v>735</v>
      </c>
      <c r="ER205">
        <v>17</v>
      </c>
      <c r="ES205">
        <v>30</v>
      </c>
      <c r="ET205">
        <v>60</v>
      </c>
      <c r="EU205" t="s">
        <v>1358</v>
      </c>
      <c r="EV205" t="s">
        <v>736</v>
      </c>
      <c r="EW205">
        <v>12</v>
      </c>
      <c r="EX205">
        <v>30</v>
      </c>
      <c r="EY205">
        <v>60</v>
      </c>
      <c r="EZ205" t="s">
        <v>1358</v>
      </c>
      <c r="FA205" t="s">
        <v>980</v>
      </c>
      <c r="FB205">
        <v>25</v>
      </c>
      <c r="FC205">
        <v>30</v>
      </c>
      <c r="FD205">
        <v>60</v>
      </c>
      <c r="FE205" t="s">
        <v>1358</v>
      </c>
      <c r="FF205" t="s">
        <v>734</v>
      </c>
      <c r="FG205">
        <f t="shared" si="22"/>
        <v>67.34</v>
      </c>
      <c r="FH205">
        <v>60</v>
      </c>
      <c r="FI205">
        <v>90</v>
      </c>
      <c r="FJ205" t="s">
        <v>1358</v>
      </c>
      <c r="FK205" t="s">
        <v>735</v>
      </c>
      <c r="FL205">
        <f t="shared" si="23"/>
        <v>20.100000000000001</v>
      </c>
      <c r="FM205">
        <v>60</v>
      </c>
      <c r="FN205">
        <v>90</v>
      </c>
      <c r="FO205" t="s">
        <v>1358</v>
      </c>
      <c r="FP205" t="s">
        <v>736</v>
      </c>
      <c r="FQ205">
        <f t="shared" si="24"/>
        <v>12.56</v>
      </c>
      <c r="FR205">
        <v>60</v>
      </c>
      <c r="FS205">
        <v>90</v>
      </c>
      <c r="FT205" t="s">
        <v>1358</v>
      </c>
      <c r="FU205" t="s">
        <v>980</v>
      </c>
      <c r="FV205">
        <v>25</v>
      </c>
      <c r="FW205">
        <v>60</v>
      </c>
      <c r="FX205">
        <v>90</v>
      </c>
      <c r="FY205" t="s">
        <v>1358</v>
      </c>
      <c r="FZ205" t="s">
        <v>957</v>
      </c>
      <c r="GA205" t="s">
        <v>958</v>
      </c>
      <c r="GB205" t="s">
        <v>959</v>
      </c>
      <c r="GC205" t="s">
        <v>1</v>
      </c>
      <c r="GD205" t="s">
        <v>1</v>
      </c>
      <c r="GE205" s="26" t="s">
        <v>1358</v>
      </c>
      <c r="GF205" t="s">
        <v>957</v>
      </c>
      <c r="GG205" t="s">
        <v>961</v>
      </c>
      <c r="GH205" t="s">
        <v>960</v>
      </c>
      <c r="GI205" s="20">
        <v>1961</v>
      </c>
      <c r="GJ205" s="20">
        <v>1990</v>
      </c>
      <c r="GK205" s="26" t="s">
        <v>1358</v>
      </c>
      <c r="GL205" t="s">
        <v>953</v>
      </c>
      <c r="GM205" t="s">
        <v>955</v>
      </c>
      <c r="GN205" t="s">
        <v>954</v>
      </c>
      <c r="GO205" s="5" t="s">
        <v>956</v>
      </c>
      <c r="GP205" s="5" t="s">
        <v>1382</v>
      </c>
      <c r="GQ205" s="5" t="s">
        <v>962</v>
      </c>
      <c r="GR205" s="5" t="s">
        <v>963</v>
      </c>
      <c r="GS205" s="5" t="s">
        <v>959</v>
      </c>
      <c r="GT205" s="26" t="s">
        <v>1358</v>
      </c>
      <c r="GU205" s="5" t="s">
        <v>962</v>
      </c>
      <c r="GV205" s="5" t="s">
        <v>964</v>
      </c>
      <c r="GW205" s="5" t="s">
        <v>960</v>
      </c>
      <c r="GX205" s="20">
        <v>1961</v>
      </c>
      <c r="GY205" s="20">
        <v>1990</v>
      </c>
      <c r="GZ205" s="26" t="s">
        <v>1358</v>
      </c>
      <c r="HA205" s="5" t="s">
        <v>1</v>
      </c>
      <c r="HB205" s="5" t="s">
        <v>1</v>
      </c>
      <c r="HC205" s="5" t="s">
        <v>1</v>
      </c>
      <c r="HD205" s="5" t="s">
        <v>1</v>
      </c>
      <c r="HE205" t="s">
        <v>1</v>
      </c>
      <c r="HF205" s="5" t="s">
        <v>1</v>
      </c>
      <c r="HG205" s="5" t="s">
        <v>1</v>
      </c>
      <c r="HH205" s="5" t="s">
        <v>1</v>
      </c>
      <c r="HI205" s="5" t="s">
        <v>1</v>
      </c>
      <c r="HJ205" t="s">
        <v>1</v>
      </c>
      <c r="HK205" t="s">
        <v>1</v>
      </c>
      <c r="HL205" t="s">
        <v>1</v>
      </c>
      <c r="HM205" t="s">
        <v>1</v>
      </c>
      <c r="HN205" t="s">
        <v>1</v>
      </c>
      <c r="HO205" t="s">
        <v>1</v>
      </c>
      <c r="HP205" t="s">
        <v>1</v>
      </c>
      <c r="HQ205" t="s">
        <v>983</v>
      </c>
      <c r="HR205" t="s">
        <v>1048</v>
      </c>
      <c r="HS205" s="5" t="s">
        <v>1049</v>
      </c>
      <c r="HT205" s="28" t="s">
        <v>1425</v>
      </c>
      <c r="HU205" s="5" t="s">
        <v>842</v>
      </c>
      <c r="HV205" s="5" t="s">
        <v>1358</v>
      </c>
      <c r="HW205" t="s">
        <v>937</v>
      </c>
      <c r="HX205">
        <v>6.5</v>
      </c>
      <c r="HY205" s="30">
        <v>38589</v>
      </c>
      <c r="HZ205" t="s">
        <v>1295</v>
      </c>
      <c r="IA205">
        <f>60+150</f>
        <v>210</v>
      </c>
      <c r="IB205" s="10" t="s">
        <v>1</v>
      </c>
      <c r="IC205" s="10">
        <v>15</v>
      </c>
      <c r="ID205" s="10" t="s">
        <v>984</v>
      </c>
      <c r="IE205" s="10" t="s">
        <v>1</v>
      </c>
      <c r="IF205" s="10" t="s">
        <v>1</v>
      </c>
      <c r="IG205" t="s">
        <v>1310</v>
      </c>
      <c r="IH205" s="10">
        <f t="shared" si="28"/>
        <v>114.5</v>
      </c>
      <c r="II205" s="10" t="s">
        <v>1</v>
      </c>
      <c r="IJ205" s="10" t="s">
        <v>1</v>
      </c>
      <c r="IK205" t="s">
        <v>1311</v>
      </c>
      <c r="IL205" s="10">
        <f t="shared" si="29"/>
        <v>67.2</v>
      </c>
      <c r="IM205" s="10" t="s">
        <v>1</v>
      </c>
      <c r="IN205" s="10" t="s">
        <v>1</v>
      </c>
      <c r="IO205" s="10" t="s">
        <v>1319</v>
      </c>
      <c r="IP205" s="10">
        <v>15</v>
      </c>
      <c r="IQ205" s="10" t="s">
        <v>1</v>
      </c>
      <c r="IR205" s="10" t="s">
        <v>1</v>
      </c>
      <c r="IS205" t="s">
        <v>1</v>
      </c>
      <c r="IT205" t="s">
        <v>1</v>
      </c>
      <c r="IW205" t="s">
        <v>1</v>
      </c>
      <c r="IX205" t="s">
        <v>1</v>
      </c>
      <c r="IY205" t="s">
        <v>1</v>
      </c>
      <c r="IZ205" t="s">
        <v>1</v>
      </c>
      <c r="JA205" t="s">
        <v>1</v>
      </c>
      <c r="JB205" s="3" t="s">
        <v>1</v>
      </c>
      <c r="JC205" t="s">
        <v>1</v>
      </c>
      <c r="JD205" s="4" t="s">
        <v>1</v>
      </c>
      <c r="JE205" t="s">
        <v>810</v>
      </c>
      <c r="JF205">
        <v>100</v>
      </c>
      <c r="JG205" t="s">
        <v>859</v>
      </c>
      <c r="JH205" t="s">
        <v>1387</v>
      </c>
      <c r="JI205" t="s">
        <v>946</v>
      </c>
      <c r="JJ205" t="s">
        <v>1421</v>
      </c>
      <c r="JK205" s="31" t="s">
        <v>1</v>
      </c>
      <c r="JL205" t="s">
        <v>947</v>
      </c>
      <c r="JM205" t="s">
        <v>948</v>
      </c>
      <c r="JN205" t="s">
        <v>1050</v>
      </c>
      <c r="JO205" s="30">
        <v>38589</v>
      </c>
      <c r="JP205" t="s">
        <v>1051</v>
      </c>
      <c r="JQ205" s="32" t="s">
        <v>1059</v>
      </c>
      <c r="JR205" t="s">
        <v>1066</v>
      </c>
      <c r="JS205" t="s">
        <v>1004</v>
      </c>
      <c r="JT205" t="s">
        <v>995</v>
      </c>
      <c r="JU205" t="s">
        <v>1</v>
      </c>
      <c r="JV205" t="s">
        <v>1423</v>
      </c>
      <c r="JW205" t="s">
        <v>842</v>
      </c>
      <c r="JX205">
        <v>0</v>
      </c>
      <c r="JY205">
        <v>80</v>
      </c>
      <c r="JZ205" t="s">
        <v>800</v>
      </c>
      <c r="KA205" t="s">
        <v>206</v>
      </c>
      <c r="KB205" t="s">
        <v>738</v>
      </c>
      <c r="KC205" t="s">
        <v>1</v>
      </c>
      <c r="KD205" t="s">
        <v>1</v>
      </c>
      <c r="KE205" t="s">
        <v>1</v>
      </c>
      <c r="KF205" t="s">
        <v>1</v>
      </c>
      <c r="KG205" t="s">
        <v>1</v>
      </c>
      <c r="KH205" t="s">
        <v>1</v>
      </c>
      <c r="KI205" t="s">
        <v>1</v>
      </c>
      <c r="KJ205" t="s">
        <v>1</v>
      </c>
      <c r="KK205" t="s">
        <v>1</v>
      </c>
    </row>
    <row r="206" spans="1:297" x14ac:dyDescent="0.2">
      <c r="A206" s="3" t="s">
        <v>905</v>
      </c>
      <c r="B206" t="s">
        <v>705</v>
      </c>
      <c r="C206" t="s">
        <v>923</v>
      </c>
      <c r="D206" t="s">
        <v>690</v>
      </c>
      <c r="E206">
        <v>29</v>
      </c>
      <c r="F206" t="s">
        <v>213</v>
      </c>
      <c r="G206" t="s">
        <v>1</v>
      </c>
      <c r="H206" s="26" t="s">
        <v>1420</v>
      </c>
      <c r="I206" t="s">
        <v>1</v>
      </c>
      <c r="J206" t="s">
        <v>1</v>
      </c>
      <c r="K206" t="s">
        <v>1</v>
      </c>
      <c r="L206" t="s">
        <v>1</v>
      </c>
      <c r="M206" t="s">
        <v>1</v>
      </c>
      <c r="N206" t="s">
        <v>1</v>
      </c>
      <c r="O206" t="s">
        <v>1</v>
      </c>
      <c r="P206" t="s">
        <v>1</v>
      </c>
      <c r="Q206" t="s">
        <v>1</v>
      </c>
      <c r="R206" t="s">
        <v>1</v>
      </c>
      <c r="S206" t="s">
        <v>1</v>
      </c>
      <c r="T206" t="s">
        <v>1</v>
      </c>
      <c r="U206" t="s">
        <v>1</v>
      </c>
      <c r="V206" t="s">
        <v>1</v>
      </c>
      <c r="W206" t="s">
        <v>1</v>
      </c>
      <c r="X206" t="s">
        <v>1</v>
      </c>
      <c r="Y206" t="s">
        <v>1</v>
      </c>
      <c r="Z206" t="s">
        <v>1</v>
      </c>
      <c r="AA206" t="s">
        <v>1</v>
      </c>
      <c r="AB206" t="s">
        <v>1</v>
      </c>
      <c r="AC206" t="s">
        <v>1</v>
      </c>
      <c r="AD206" t="s">
        <v>1</v>
      </c>
      <c r="AE206" t="s">
        <v>1</v>
      </c>
      <c r="AF206" t="s">
        <v>1</v>
      </c>
      <c r="AG206" t="s">
        <v>1</v>
      </c>
      <c r="AH206" t="s">
        <v>1</v>
      </c>
      <c r="AI206" t="s">
        <v>1</v>
      </c>
      <c r="AJ206" t="s">
        <v>1</v>
      </c>
      <c r="AK206" t="s">
        <v>1</v>
      </c>
      <c r="AL206" t="s">
        <v>1</v>
      </c>
      <c r="AM206" t="s">
        <v>1</v>
      </c>
      <c r="AN206" s="3" t="s">
        <v>905</v>
      </c>
      <c r="AO206" t="str">
        <f t="shared" si="25"/>
        <v>180-28</v>
      </c>
      <c r="AP206">
        <f t="shared" si="26"/>
        <v>29</v>
      </c>
      <c r="AQ206">
        <f t="shared" si="27"/>
        <v>29</v>
      </c>
      <c r="AR206" t="s">
        <v>1355</v>
      </c>
      <c r="AS206" t="s">
        <v>1356</v>
      </c>
      <c r="AT206" t="s">
        <v>714</v>
      </c>
      <c r="AU206" t="s">
        <v>1</v>
      </c>
      <c r="AV206" t="s">
        <v>1</v>
      </c>
      <c r="AW206">
        <v>58.37</v>
      </c>
      <c r="AX206">
        <v>13.48</v>
      </c>
      <c r="AY206" t="s">
        <v>737</v>
      </c>
      <c r="AZ206">
        <f t="shared" si="19"/>
        <v>5.3999999999999999E-2</v>
      </c>
      <c r="BA206" s="3">
        <f t="shared" si="20"/>
        <v>6</v>
      </c>
      <c r="BB206" s="10" t="s">
        <v>1355</v>
      </c>
      <c r="BC206" t="s">
        <v>1461</v>
      </c>
      <c r="BD206" s="30">
        <v>38933</v>
      </c>
      <c r="BE206" s="3" t="s">
        <v>933</v>
      </c>
      <c r="BF206" s="30">
        <v>39293</v>
      </c>
      <c r="BG206" s="19" t="s">
        <v>934</v>
      </c>
      <c r="BH206" s="19" t="s">
        <v>934</v>
      </c>
      <c r="BI206" s="19" t="s">
        <v>945</v>
      </c>
      <c r="BJ206" s="19" t="s">
        <v>934</v>
      </c>
      <c r="BK206" s="19" t="s">
        <v>945</v>
      </c>
      <c r="BL206" s="19" t="s">
        <v>945</v>
      </c>
      <c r="BM206" s="19" t="s">
        <v>945</v>
      </c>
      <c r="BN206" s="19" t="s">
        <v>934</v>
      </c>
      <c r="BO206" s="19" t="s">
        <v>945</v>
      </c>
      <c r="BP206" s="19" t="s">
        <v>945</v>
      </c>
      <c r="BQ206" s="24" t="s">
        <v>945</v>
      </c>
      <c r="BR206" s="24" t="s">
        <v>945</v>
      </c>
      <c r="BS206" s="24" t="s">
        <v>934</v>
      </c>
      <c r="BT206" s="24" t="s">
        <v>934</v>
      </c>
      <c r="BU206" s="24" t="s">
        <v>934</v>
      </c>
      <c r="BV206" s="24" t="s">
        <v>934</v>
      </c>
      <c r="BW206" s="24" t="s">
        <v>934</v>
      </c>
      <c r="BX206" s="24" t="s">
        <v>934</v>
      </c>
      <c r="BY206" s="25" t="s">
        <v>945</v>
      </c>
      <c r="BZ206" t="s">
        <v>62</v>
      </c>
      <c r="CA206" s="20" t="s">
        <v>950</v>
      </c>
      <c r="CB206" t="s">
        <v>1</v>
      </c>
      <c r="CC206" s="4">
        <v>6540</v>
      </c>
      <c r="CD206" s="4" t="s">
        <v>1</v>
      </c>
      <c r="CE206" s="4" t="s">
        <v>1</v>
      </c>
      <c r="CF206" s="5" t="s">
        <v>793</v>
      </c>
      <c r="CG206">
        <v>100</v>
      </c>
      <c r="CH206" t="s">
        <v>1</v>
      </c>
      <c r="CI206" s="28" t="s">
        <v>1</v>
      </c>
      <c r="CJ206" s="10" t="s">
        <v>1</v>
      </c>
      <c r="CK206" s="9" t="s">
        <v>1</v>
      </c>
      <c r="CL206" s="4" t="s">
        <v>1</v>
      </c>
      <c r="CM206" s="4" t="s">
        <v>1</v>
      </c>
      <c r="CN206" s="4" t="s">
        <v>1</v>
      </c>
      <c r="CO206" s="4" t="s">
        <v>1</v>
      </c>
      <c r="CP206" s="4" t="s">
        <v>1</v>
      </c>
      <c r="CQ206" s="4" t="s">
        <v>1</v>
      </c>
      <c r="CR206" s="4" t="s">
        <v>1</v>
      </c>
      <c r="CS206" s="4" t="s">
        <v>1</v>
      </c>
      <c r="CT206" s="4" t="s">
        <v>1</v>
      </c>
      <c r="CU206" s="4" t="s">
        <v>1</v>
      </c>
      <c r="CV206" t="s">
        <v>855</v>
      </c>
      <c r="CW206">
        <v>100</v>
      </c>
      <c r="CX206">
        <v>0</v>
      </c>
      <c r="CY206">
        <v>30</v>
      </c>
      <c r="CZ206" t="s">
        <v>1358</v>
      </c>
      <c r="DA206" t="s">
        <v>734</v>
      </c>
      <c r="DB206">
        <v>64</v>
      </c>
      <c r="DC206">
        <v>0</v>
      </c>
      <c r="DD206">
        <v>30</v>
      </c>
      <c r="DE206" t="s">
        <v>1358</v>
      </c>
      <c r="DF206" t="s">
        <v>735</v>
      </c>
      <c r="DG206">
        <v>22</v>
      </c>
      <c r="DH206">
        <v>0</v>
      </c>
      <c r="DI206">
        <v>30</v>
      </c>
      <c r="DJ206" t="s">
        <v>1358</v>
      </c>
      <c r="DK206" t="s">
        <v>736</v>
      </c>
      <c r="DL206">
        <v>14</v>
      </c>
      <c r="DM206">
        <v>0</v>
      </c>
      <c r="DN206">
        <v>30</v>
      </c>
      <c r="DO206" t="s">
        <v>1358</v>
      </c>
      <c r="DP206" t="s">
        <v>6</v>
      </c>
      <c r="DQ206" t="s">
        <v>813</v>
      </c>
      <c r="DR206">
        <v>6.4</v>
      </c>
      <c r="DS206">
        <v>0</v>
      </c>
      <c r="DT206">
        <v>30</v>
      </c>
      <c r="DU206" t="s">
        <v>1358</v>
      </c>
      <c r="DV206" t="s">
        <v>980</v>
      </c>
      <c r="DW206">
        <v>28</v>
      </c>
      <c r="DX206">
        <v>0</v>
      </c>
      <c r="DY206">
        <v>30</v>
      </c>
      <c r="DZ206" t="s">
        <v>1358</v>
      </c>
      <c r="EA206" t="s">
        <v>982</v>
      </c>
      <c r="EB206">
        <v>16</v>
      </c>
      <c r="EC206">
        <v>0</v>
      </c>
      <c r="ED206">
        <v>30</v>
      </c>
      <c r="EE206" t="s">
        <v>1358</v>
      </c>
      <c r="EG206" t="s">
        <v>981</v>
      </c>
      <c r="EH206">
        <f t="shared" si="21"/>
        <v>1.4</v>
      </c>
      <c r="EI206">
        <v>0</v>
      </c>
      <c r="EJ206">
        <v>30</v>
      </c>
      <c r="EK206" t="s">
        <v>1358</v>
      </c>
      <c r="EL206" t="s">
        <v>734</v>
      </c>
      <c r="EM206">
        <v>71</v>
      </c>
      <c r="EN206">
        <v>30</v>
      </c>
      <c r="EO206">
        <v>60</v>
      </c>
      <c r="EP206" t="s">
        <v>1358</v>
      </c>
      <c r="EQ206" t="s">
        <v>735</v>
      </c>
      <c r="ER206">
        <v>17</v>
      </c>
      <c r="ES206">
        <v>30</v>
      </c>
      <c r="ET206">
        <v>60</v>
      </c>
      <c r="EU206" t="s">
        <v>1358</v>
      </c>
      <c r="EV206" t="s">
        <v>736</v>
      </c>
      <c r="EW206">
        <v>12</v>
      </c>
      <c r="EX206">
        <v>30</v>
      </c>
      <c r="EY206">
        <v>60</v>
      </c>
      <c r="EZ206" t="s">
        <v>1358</v>
      </c>
      <c r="FA206" t="s">
        <v>980</v>
      </c>
      <c r="FB206">
        <v>25</v>
      </c>
      <c r="FC206">
        <v>30</v>
      </c>
      <c r="FD206">
        <v>60</v>
      </c>
      <c r="FE206" t="s">
        <v>1358</v>
      </c>
      <c r="FF206" t="s">
        <v>734</v>
      </c>
      <c r="FG206">
        <f t="shared" si="22"/>
        <v>67.34</v>
      </c>
      <c r="FH206">
        <v>60</v>
      </c>
      <c r="FI206">
        <v>90</v>
      </c>
      <c r="FJ206" t="s">
        <v>1358</v>
      </c>
      <c r="FK206" t="s">
        <v>735</v>
      </c>
      <c r="FL206">
        <f t="shared" si="23"/>
        <v>20.100000000000001</v>
      </c>
      <c r="FM206">
        <v>60</v>
      </c>
      <c r="FN206">
        <v>90</v>
      </c>
      <c r="FO206" t="s">
        <v>1358</v>
      </c>
      <c r="FP206" t="s">
        <v>736</v>
      </c>
      <c r="FQ206">
        <f t="shared" si="24"/>
        <v>12.56</v>
      </c>
      <c r="FR206">
        <v>60</v>
      </c>
      <c r="FS206">
        <v>90</v>
      </c>
      <c r="FT206" t="s">
        <v>1358</v>
      </c>
      <c r="FU206" t="s">
        <v>980</v>
      </c>
      <c r="FV206">
        <v>25</v>
      </c>
      <c r="FW206">
        <v>60</v>
      </c>
      <c r="FX206">
        <v>90</v>
      </c>
      <c r="FY206" t="s">
        <v>1358</v>
      </c>
      <c r="FZ206" t="s">
        <v>957</v>
      </c>
      <c r="GA206" t="s">
        <v>958</v>
      </c>
      <c r="GB206" t="s">
        <v>959</v>
      </c>
      <c r="GC206" t="s">
        <v>1</v>
      </c>
      <c r="GD206" t="s">
        <v>1</v>
      </c>
      <c r="GE206" s="26" t="s">
        <v>1358</v>
      </c>
      <c r="GF206" t="s">
        <v>957</v>
      </c>
      <c r="GG206" t="s">
        <v>961</v>
      </c>
      <c r="GH206" t="s">
        <v>960</v>
      </c>
      <c r="GI206" s="20">
        <v>1961</v>
      </c>
      <c r="GJ206" s="20">
        <v>1990</v>
      </c>
      <c r="GK206" s="26" t="s">
        <v>1358</v>
      </c>
      <c r="GL206" t="s">
        <v>953</v>
      </c>
      <c r="GM206" t="s">
        <v>955</v>
      </c>
      <c r="GN206" t="s">
        <v>954</v>
      </c>
      <c r="GO206" s="5" t="s">
        <v>956</v>
      </c>
      <c r="GP206" s="5" t="s">
        <v>1382</v>
      </c>
      <c r="GQ206" s="5" t="s">
        <v>962</v>
      </c>
      <c r="GR206" s="5" t="s">
        <v>963</v>
      </c>
      <c r="GS206" s="5" t="s">
        <v>959</v>
      </c>
      <c r="GT206" s="26" t="s">
        <v>1358</v>
      </c>
      <c r="GU206" s="5" t="s">
        <v>962</v>
      </c>
      <c r="GV206" s="5" t="s">
        <v>964</v>
      </c>
      <c r="GW206" s="5" t="s">
        <v>960</v>
      </c>
      <c r="GX206" s="20">
        <v>1961</v>
      </c>
      <c r="GY206" s="20">
        <v>1990</v>
      </c>
      <c r="GZ206" s="26" t="s">
        <v>1358</v>
      </c>
      <c r="HA206" s="5" t="s">
        <v>1</v>
      </c>
      <c r="HB206" s="5" t="s">
        <v>1</v>
      </c>
      <c r="HC206" s="5" t="s">
        <v>1</v>
      </c>
      <c r="HD206" s="5" t="s">
        <v>1</v>
      </c>
      <c r="HE206" t="s">
        <v>1</v>
      </c>
      <c r="HF206" s="5" t="s">
        <v>1</v>
      </c>
      <c r="HG206" s="5" t="s">
        <v>1</v>
      </c>
      <c r="HH206" s="5" t="s">
        <v>1</v>
      </c>
      <c r="HI206" s="5" t="s">
        <v>1</v>
      </c>
      <c r="HJ206" t="s">
        <v>1</v>
      </c>
      <c r="HK206" t="s">
        <v>1</v>
      </c>
      <c r="HL206" t="s">
        <v>1</v>
      </c>
      <c r="HM206" t="s">
        <v>1</v>
      </c>
      <c r="HN206" t="s">
        <v>1</v>
      </c>
      <c r="HO206" t="s">
        <v>1</v>
      </c>
      <c r="HP206" t="s">
        <v>1</v>
      </c>
      <c r="HQ206" t="s">
        <v>983</v>
      </c>
      <c r="HR206" t="s">
        <v>1040</v>
      </c>
      <c r="HS206" s="5" t="s">
        <v>1049</v>
      </c>
      <c r="HT206" s="28" t="s">
        <v>1425</v>
      </c>
      <c r="HU206" s="5" t="s">
        <v>842</v>
      </c>
      <c r="HV206" s="5" t="s">
        <v>1358</v>
      </c>
      <c r="HW206" t="s">
        <v>937</v>
      </c>
      <c r="HX206" s="3" t="s">
        <v>1</v>
      </c>
      <c r="HY206" s="30">
        <v>38978</v>
      </c>
      <c r="HZ206" t="s">
        <v>1295</v>
      </c>
      <c r="IA206">
        <v>100</v>
      </c>
      <c r="IB206" s="10" t="s">
        <v>1</v>
      </c>
      <c r="IC206" s="10">
        <v>15</v>
      </c>
      <c r="ID206" s="10" t="s">
        <v>984</v>
      </c>
      <c r="IE206" s="10" t="s">
        <v>1</v>
      </c>
      <c r="IF206" s="10" t="s">
        <v>1</v>
      </c>
      <c r="IG206" t="s">
        <v>1</v>
      </c>
      <c r="IH206" s="10" t="s">
        <v>1</v>
      </c>
      <c r="II206" s="10" t="s">
        <v>1</v>
      </c>
      <c r="IJ206" s="10" t="s">
        <v>1</v>
      </c>
      <c r="IK206" t="s">
        <v>1</v>
      </c>
      <c r="IL206" s="10" t="s">
        <v>1</v>
      </c>
      <c r="IM206" s="10" t="s">
        <v>1</v>
      </c>
      <c r="IN206" s="10" t="s">
        <v>1</v>
      </c>
      <c r="IO206" s="10" t="s">
        <v>1</v>
      </c>
      <c r="IP206" s="10" t="s">
        <v>1</v>
      </c>
      <c r="IQ206" s="10" t="s">
        <v>1</v>
      </c>
      <c r="IR206" s="10" t="s">
        <v>1</v>
      </c>
      <c r="IS206" t="s">
        <v>1</v>
      </c>
      <c r="IT206" t="s">
        <v>1</v>
      </c>
      <c r="IW206" t="s">
        <v>1</v>
      </c>
      <c r="IX206" t="s">
        <v>1</v>
      </c>
      <c r="IY206" t="s">
        <v>1</v>
      </c>
      <c r="IZ206" t="s">
        <v>1</v>
      </c>
      <c r="JA206" t="s">
        <v>1</v>
      </c>
      <c r="JB206" s="3" t="s">
        <v>1</v>
      </c>
      <c r="JC206" t="s">
        <v>1</v>
      </c>
      <c r="JD206" s="4" t="s">
        <v>1</v>
      </c>
      <c r="JE206" t="s">
        <v>810</v>
      </c>
      <c r="JF206">
        <v>100</v>
      </c>
      <c r="JG206" t="s">
        <v>859</v>
      </c>
      <c r="JH206" t="s">
        <v>1388</v>
      </c>
      <c r="JI206" t="s">
        <v>947</v>
      </c>
      <c r="JJ206" t="s">
        <v>1</v>
      </c>
      <c r="JK206" s="33" t="s">
        <v>1053</v>
      </c>
      <c r="JL206" t="s">
        <v>1</v>
      </c>
      <c r="JM206" t="s">
        <v>1</v>
      </c>
      <c r="JN206" t="s">
        <v>1050</v>
      </c>
      <c r="JO206" s="30">
        <v>38978</v>
      </c>
      <c r="JP206" t="s">
        <v>1051</v>
      </c>
      <c r="JQ206" s="32" t="s">
        <v>1060</v>
      </c>
      <c r="JR206" t="s">
        <v>1066</v>
      </c>
      <c r="JS206" t="s">
        <v>1015</v>
      </c>
      <c r="JT206" t="s">
        <v>1014</v>
      </c>
      <c r="JU206" t="s">
        <v>1</v>
      </c>
      <c r="JV206" t="s">
        <v>1424</v>
      </c>
      <c r="JW206" t="s">
        <v>842</v>
      </c>
      <c r="JX206">
        <v>0</v>
      </c>
      <c r="JY206">
        <v>80</v>
      </c>
      <c r="JZ206" t="s">
        <v>800</v>
      </c>
      <c r="KA206" t="s">
        <v>206</v>
      </c>
      <c r="KB206" t="s">
        <v>738</v>
      </c>
      <c r="KC206" t="s">
        <v>1</v>
      </c>
      <c r="KD206" t="s">
        <v>1</v>
      </c>
      <c r="KE206" t="s">
        <v>1</v>
      </c>
      <c r="KF206" t="s">
        <v>1</v>
      </c>
      <c r="KG206" t="s">
        <v>1</v>
      </c>
      <c r="KH206" t="s">
        <v>1</v>
      </c>
      <c r="KI206" t="s">
        <v>1</v>
      </c>
      <c r="KJ206" t="s">
        <v>1</v>
      </c>
      <c r="KK206" t="s">
        <v>1</v>
      </c>
    </row>
    <row r="207" spans="1:297" x14ac:dyDescent="0.2">
      <c r="A207" s="3" t="s">
        <v>906</v>
      </c>
      <c r="B207" t="s">
        <v>705</v>
      </c>
      <c r="C207" t="s">
        <v>924</v>
      </c>
      <c r="D207" t="s">
        <v>690</v>
      </c>
      <c r="E207">
        <v>29</v>
      </c>
      <c r="F207" t="s">
        <v>213</v>
      </c>
      <c r="G207" t="s">
        <v>1</v>
      </c>
      <c r="H207" s="26" t="s">
        <v>1420</v>
      </c>
      <c r="I207" t="s">
        <v>1</v>
      </c>
      <c r="J207" t="s">
        <v>1</v>
      </c>
      <c r="K207" t="s">
        <v>1</v>
      </c>
      <c r="L207" t="s">
        <v>1</v>
      </c>
      <c r="M207" t="s">
        <v>1</v>
      </c>
      <c r="N207" t="s">
        <v>1</v>
      </c>
      <c r="O207" t="s">
        <v>1</v>
      </c>
      <c r="P207" t="s">
        <v>1</v>
      </c>
      <c r="Q207" t="s">
        <v>1</v>
      </c>
      <c r="R207" t="s">
        <v>1</v>
      </c>
      <c r="S207" t="s">
        <v>1</v>
      </c>
      <c r="T207" t="s">
        <v>1</v>
      </c>
      <c r="U207" t="s">
        <v>1</v>
      </c>
      <c r="V207" t="s">
        <v>1</v>
      </c>
      <c r="W207" t="s">
        <v>1</v>
      </c>
      <c r="X207" t="s">
        <v>1</v>
      </c>
      <c r="Y207" t="s">
        <v>1</v>
      </c>
      <c r="Z207" t="s">
        <v>1</v>
      </c>
      <c r="AA207" t="s">
        <v>1</v>
      </c>
      <c r="AB207" t="s">
        <v>1</v>
      </c>
      <c r="AC207" t="s">
        <v>1</v>
      </c>
      <c r="AD207" t="s">
        <v>1</v>
      </c>
      <c r="AE207" t="s">
        <v>1</v>
      </c>
      <c r="AF207" t="s">
        <v>1</v>
      </c>
      <c r="AG207" t="s">
        <v>1</v>
      </c>
      <c r="AH207" t="s">
        <v>1</v>
      </c>
      <c r="AI207" t="s">
        <v>1</v>
      </c>
      <c r="AJ207" t="s">
        <v>1</v>
      </c>
      <c r="AK207" t="s">
        <v>1</v>
      </c>
      <c r="AL207" t="s">
        <v>1</v>
      </c>
      <c r="AM207" t="s">
        <v>1</v>
      </c>
      <c r="AN207" s="3" t="s">
        <v>906</v>
      </c>
      <c r="AO207" t="str">
        <f t="shared" si="25"/>
        <v>180-29</v>
      </c>
      <c r="AP207">
        <f t="shared" si="26"/>
        <v>29</v>
      </c>
      <c r="AQ207">
        <f t="shared" si="27"/>
        <v>29</v>
      </c>
      <c r="AR207" t="s">
        <v>1355</v>
      </c>
      <c r="AS207" t="s">
        <v>1356</v>
      </c>
      <c r="AT207" t="s">
        <v>714</v>
      </c>
      <c r="AU207" t="s">
        <v>1</v>
      </c>
      <c r="AV207" t="s">
        <v>1</v>
      </c>
      <c r="AW207">
        <v>58.37</v>
      </c>
      <c r="AX207">
        <v>13.48</v>
      </c>
      <c r="AY207" t="s">
        <v>737</v>
      </c>
      <c r="AZ207">
        <f t="shared" si="19"/>
        <v>5.3999999999999999E-2</v>
      </c>
      <c r="BA207" s="3">
        <f t="shared" si="20"/>
        <v>6</v>
      </c>
      <c r="BB207" s="10" t="s">
        <v>1355</v>
      </c>
      <c r="BC207" t="s">
        <v>1461</v>
      </c>
      <c r="BD207" s="30">
        <v>38933</v>
      </c>
      <c r="BE207" s="3" t="s">
        <v>933</v>
      </c>
      <c r="BF207" s="30">
        <v>39293</v>
      </c>
      <c r="BG207" s="19" t="s">
        <v>934</v>
      </c>
      <c r="BH207" s="19" t="s">
        <v>934</v>
      </c>
      <c r="BI207" s="19" t="s">
        <v>945</v>
      </c>
      <c r="BJ207" s="19" t="s">
        <v>934</v>
      </c>
      <c r="BK207" s="19" t="s">
        <v>945</v>
      </c>
      <c r="BL207" s="19" t="s">
        <v>945</v>
      </c>
      <c r="BM207" s="19" t="s">
        <v>945</v>
      </c>
      <c r="BN207" s="19" t="s">
        <v>934</v>
      </c>
      <c r="BO207" s="19" t="s">
        <v>945</v>
      </c>
      <c r="BP207" s="19" t="s">
        <v>945</v>
      </c>
      <c r="BQ207" s="24" t="s">
        <v>945</v>
      </c>
      <c r="BR207" s="24" t="s">
        <v>945</v>
      </c>
      <c r="BS207" s="24" t="s">
        <v>934</v>
      </c>
      <c r="BT207" s="24" t="s">
        <v>934</v>
      </c>
      <c r="BU207" s="24" t="s">
        <v>934</v>
      </c>
      <c r="BV207" s="24" t="s">
        <v>934</v>
      </c>
      <c r="BW207" s="24" t="s">
        <v>934</v>
      </c>
      <c r="BX207" s="24" t="s">
        <v>934</v>
      </c>
      <c r="BY207" s="25" t="s">
        <v>945</v>
      </c>
      <c r="BZ207" t="s">
        <v>62</v>
      </c>
      <c r="CA207" s="20" t="s">
        <v>950</v>
      </c>
      <c r="CB207" t="s">
        <v>1</v>
      </c>
      <c r="CC207" s="4">
        <v>6860</v>
      </c>
      <c r="CD207" s="4" t="s">
        <v>1</v>
      </c>
      <c r="CE207" s="4" t="s">
        <v>1</v>
      </c>
      <c r="CF207" s="5" t="s">
        <v>793</v>
      </c>
      <c r="CG207">
        <v>100</v>
      </c>
      <c r="CH207" t="s">
        <v>1</v>
      </c>
      <c r="CI207" s="28" t="s">
        <v>1</v>
      </c>
      <c r="CJ207" s="10" t="s">
        <v>1</v>
      </c>
      <c r="CK207" s="9" t="s">
        <v>1</v>
      </c>
      <c r="CL207" s="4" t="s">
        <v>1</v>
      </c>
      <c r="CM207" s="4" t="s">
        <v>1</v>
      </c>
      <c r="CN207" s="4" t="s">
        <v>1</v>
      </c>
      <c r="CO207" s="4" t="s">
        <v>1</v>
      </c>
      <c r="CP207" s="4" t="s">
        <v>1</v>
      </c>
      <c r="CQ207" s="4" t="s">
        <v>1</v>
      </c>
      <c r="CR207" s="4" t="s">
        <v>1</v>
      </c>
      <c r="CS207" s="4" t="s">
        <v>1</v>
      </c>
      <c r="CT207" s="4" t="s">
        <v>1</v>
      </c>
      <c r="CU207" s="4" t="s">
        <v>1</v>
      </c>
      <c r="CV207" t="s">
        <v>855</v>
      </c>
      <c r="CW207">
        <v>100</v>
      </c>
      <c r="CX207">
        <v>0</v>
      </c>
      <c r="CY207">
        <v>30</v>
      </c>
      <c r="CZ207" t="s">
        <v>1358</v>
      </c>
      <c r="DA207" t="s">
        <v>734</v>
      </c>
      <c r="DB207">
        <v>64</v>
      </c>
      <c r="DC207">
        <v>0</v>
      </c>
      <c r="DD207">
        <v>30</v>
      </c>
      <c r="DE207" t="s">
        <v>1358</v>
      </c>
      <c r="DF207" t="s">
        <v>735</v>
      </c>
      <c r="DG207">
        <v>22</v>
      </c>
      <c r="DH207">
        <v>0</v>
      </c>
      <c r="DI207">
        <v>30</v>
      </c>
      <c r="DJ207" t="s">
        <v>1358</v>
      </c>
      <c r="DK207" t="s">
        <v>736</v>
      </c>
      <c r="DL207">
        <v>14</v>
      </c>
      <c r="DM207">
        <v>0</v>
      </c>
      <c r="DN207">
        <v>30</v>
      </c>
      <c r="DO207" t="s">
        <v>1358</v>
      </c>
      <c r="DP207" t="s">
        <v>6</v>
      </c>
      <c r="DQ207" t="s">
        <v>813</v>
      </c>
      <c r="DR207">
        <v>6.4</v>
      </c>
      <c r="DS207">
        <v>0</v>
      </c>
      <c r="DT207">
        <v>30</v>
      </c>
      <c r="DU207" t="s">
        <v>1358</v>
      </c>
      <c r="DV207" t="s">
        <v>980</v>
      </c>
      <c r="DW207">
        <v>28</v>
      </c>
      <c r="DX207">
        <v>0</v>
      </c>
      <c r="DY207">
        <v>30</v>
      </c>
      <c r="DZ207" t="s">
        <v>1358</v>
      </c>
      <c r="EA207" t="s">
        <v>982</v>
      </c>
      <c r="EB207">
        <v>16</v>
      </c>
      <c r="EC207">
        <v>0</v>
      </c>
      <c r="ED207">
        <v>30</v>
      </c>
      <c r="EE207" t="s">
        <v>1358</v>
      </c>
      <c r="EG207" t="s">
        <v>981</v>
      </c>
      <c r="EH207">
        <f t="shared" si="21"/>
        <v>1.4</v>
      </c>
      <c r="EI207">
        <v>0</v>
      </c>
      <c r="EJ207">
        <v>30</v>
      </c>
      <c r="EK207" t="s">
        <v>1358</v>
      </c>
      <c r="EL207" t="s">
        <v>734</v>
      </c>
      <c r="EM207">
        <v>71</v>
      </c>
      <c r="EN207">
        <v>30</v>
      </c>
      <c r="EO207">
        <v>60</v>
      </c>
      <c r="EP207" t="s">
        <v>1358</v>
      </c>
      <c r="EQ207" t="s">
        <v>735</v>
      </c>
      <c r="ER207">
        <v>17</v>
      </c>
      <c r="ES207">
        <v>30</v>
      </c>
      <c r="ET207">
        <v>60</v>
      </c>
      <c r="EU207" t="s">
        <v>1358</v>
      </c>
      <c r="EV207" t="s">
        <v>736</v>
      </c>
      <c r="EW207">
        <v>12</v>
      </c>
      <c r="EX207">
        <v>30</v>
      </c>
      <c r="EY207">
        <v>60</v>
      </c>
      <c r="EZ207" t="s">
        <v>1358</v>
      </c>
      <c r="FA207" t="s">
        <v>980</v>
      </c>
      <c r="FB207">
        <v>25</v>
      </c>
      <c r="FC207">
        <v>30</v>
      </c>
      <c r="FD207">
        <v>60</v>
      </c>
      <c r="FE207" t="s">
        <v>1358</v>
      </c>
      <c r="FF207" t="s">
        <v>734</v>
      </c>
      <c r="FG207">
        <f t="shared" si="22"/>
        <v>67.34</v>
      </c>
      <c r="FH207">
        <v>60</v>
      </c>
      <c r="FI207">
        <v>90</v>
      </c>
      <c r="FJ207" t="s">
        <v>1358</v>
      </c>
      <c r="FK207" t="s">
        <v>735</v>
      </c>
      <c r="FL207">
        <f t="shared" si="23"/>
        <v>20.100000000000001</v>
      </c>
      <c r="FM207">
        <v>60</v>
      </c>
      <c r="FN207">
        <v>90</v>
      </c>
      <c r="FO207" t="s">
        <v>1358</v>
      </c>
      <c r="FP207" t="s">
        <v>736</v>
      </c>
      <c r="FQ207">
        <f t="shared" si="24"/>
        <v>12.56</v>
      </c>
      <c r="FR207">
        <v>60</v>
      </c>
      <c r="FS207">
        <v>90</v>
      </c>
      <c r="FT207" t="s">
        <v>1358</v>
      </c>
      <c r="FU207" t="s">
        <v>980</v>
      </c>
      <c r="FV207">
        <v>25</v>
      </c>
      <c r="FW207">
        <v>60</v>
      </c>
      <c r="FX207">
        <v>90</v>
      </c>
      <c r="FY207" t="s">
        <v>1358</v>
      </c>
      <c r="FZ207" t="s">
        <v>957</v>
      </c>
      <c r="GA207" t="s">
        <v>958</v>
      </c>
      <c r="GB207" t="s">
        <v>959</v>
      </c>
      <c r="GC207" t="s">
        <v>1</v>
      </c>
      <c r="GD207" t="s">
        <v>1</v>
      </c>
      <c r="GE207" s="26" t="s">
        <v>1358</v>
      </c>
      <c r="GF207" t="s">
        <v>957</v>
      </c>
      <c r="GG207" t="s">
        <v>961</v>
      </c>
      <c r="GH207" t="s">
        <v>960</v>
      </c>
      <c r="GI207" s="20">
        <v>1961</v>
      </c>
      <c r="GJ207" s="20">
        <v>1990</v>
      </c>
      <c r="GK207" s="26" t="s">
        <v>1358</v>
      </c>
      <c r="GL207" t="s">
        <v>953</v>
      </c>
      <c r="GM207" t="s">
        <v>955</v>
      </c>
      <c r="GN207" t="s">
        <v>954</v>
      </c>
      <c r="GO207" s="5" t="s">
        <v>956</v>
      </c>
      <c r="GP207" s="5" t="s">
        <v>1382</v>
      </c>
      <c r="GQ207" s="5" t="s">
        <v>962</v>
      </c>
      <c r="GR207" s="5" t="s">
        <v>963</v>
      </c>
      <c r="GS207" s="5" t="s">
        <v>959</v>
      </c>
      <c r="GT207" s="26" t="s">
        <v>1358</v>
      </c>
      <c r="GU207" s="5" t="s">
        <v>962</v>
      </c>
      <c r="GV207" s="5" t="s">
        <v>964</v>
      </c>
      <c r="GW207" s="5" t="s">
        <v>960</v>
      </c>
      <c r="GX207" s="20">
        <v>1961</v>
      </c>
      <c r="GY207" s="20">
        <v>1990</v>
      </c>
      <c r="GZ207" s="26" t="s">
        <v>1358</v>
      </c>
      <c r="HA207" s="5" t="s">
        <v>1</v>
      </c>
      <c r="HB207" s="5" t="s">
        <v>1</v>
      </c>
      <c r="HC207" s="5" t="s">
        <v>1</v>
      </c>
      <c r="HD207" s="5" t="s">
        <v>1</v>
      </c>
      <c r="HE207" t="s">
        <v>1</v>
      </c>
      <c r="HF207" s="5" t="s">
        <v>1</v>
      </c>
      <c r="HG207" s="5" t="s">
        <v>1</v>
      </c>
      <c r="HH207" s="5" t="s">
        <v>1</v>
      </c>
      <c r="HI207" s="5" t="s">
        <v>1</v>
      </c>
      <c r="HJ207" t="s">
        <v>1</v>
      </c>
      <c r="HK207" t="s">
        <v>1</v>
      </c>
      <c r="HL207" t="s">
        <v>1</v>
      </c>
      <c r="HM207" t="s">
        <v>1</v>
      </c>
      <c r="HN207" t="s">
        <v>1</v>
      </c>
      <c r="HO207" t="s">
        <v>1</v>
      </c>
      <c r="HP207" t="s">
        <v>1</v>
      </c>
      <c r="HQ207" t="s">
        <v>983</v>
      </c>
      <c r="HR207" t="s">
        <v>1041</v>
      </c>
      <c r="HS207" s="5" t="s">
        <v>1049</v>
      </c>
      <c r="HT207" s="28" t="s">
        <v>1425</v>
      </c>
      <c r="HU207" s="5" t="s">
        <v>842</v>
      </c>
      <c r="HV207" s="5" t="s">
        <v>1358</v>
      </c>
      <c r="HW207" t="s">
        <v>937</v>
      </c>
      <c r="HX207" s="3" t="s">
        <v>1</v>
      </c>
      <c r="HY207" s="30">
        <v>38978</v>
      </c>
      <c r="HZ207" t="s">
        <v>1295</v>
      </c>
      <c r="IA207">
        <v>100</v>
      </c>
      <c r="IB207" s="10" t="s">
        <v>1</v>
      </c>
      <c r="IC207" s="10">
        <v>15</v>
      </c>
      <c r="ID207" s="10" t="s">
        <v>984</v>
      </c>
      <c r="IE207" s="10" t="s">
        <v>1</v>
      </c>
      <c r="IF207" s="10" t="s">
        <v>1</v>
      </c>
      <c r="IG207" t="s">
        <v>1</v>
      </c>
      <c r="IH207" s="10" t="s">
        <v>1</v>
      </c>
      <c r="II207" s="10" t="s">
        <v>1</v>
      </c>
      <c r="IJ207" s="10" t="s">
        <v>1</v>
      </c>
      <c r="IK207" t="s">
        <v>1</v>
      </c>
      <c r="IL207" s="10" t="s">
        <v>1</v>
      </c>
      <c r="IM207" s="10" t="s">
        <v>1</v>
      </c>
      <c r="IN207" s="10" t="s">
        <v>1</v>
      </c>
      <c r="IO207" s="10" t="s">
        <v>1</v>
      </c>
      <c r="IP207" s="10" t="s">
        <v>1</v>
      </c>
      <c r="IQ207" s="10" t="s">
        <v>1</v>
      </c>
      <c r="IR207" s="10" t="s">
        <v>1</v>
      </c>
      <c r="IS207" t="s">
        <v>1</v>
      </c>
      <c r="IT207" t="s">
        <v>1</v>
      </c>
      <c r="IW207" t="s">
        <v>1</v>
      </c>
      <c r="IX207" t="s">
        <v>1</v>
      </c>
      <c r="IY207" t="s">
        <v>1</v>
      </c>
      <c r="IZ207" t="s">
        <v>1</v>
      </c>
      <c r="JA207" t="s">
        <v>1</v>
      </c>
      <c r="JB207" s="3" t="s">
        <v>1</v>
      </c>
      <c r="JC207" t="s">
        <v>1</v>
      </c>
      <c r="JD207" s="4" t="s">
        <v>1</v>
      </c>
      <c r="JE207" t="s">
        <v>810</v>
      </c>
      <c r="JF207">
        <v>100</v>
      </c>
      <c r="JG207" t="s">
        <v>859</v>
      </c>
      <c r="JH207" t="s">
        <v>1391</v>
      </c>
      <c r="JI207" t="s">
        <v>947</v>
      </c>
      <c r="JJ207" t="s">
        <v>1</v>
      </c>
      <c r="JK207" s="33" t="s">
        <v>1053</v>
      </c>
      <c r="JL207" t="s">
        <v>1</v>
      </c>
      <c r="JM207" t="s">
        <v>1</v>
      </c>
      <c r="JN207" t="s">
        <v>1050</v>
      </c>
      <c r="JO207" s="30">
        <v>38978</v>
      </c>
      <c r="JP207" t="s">
        <v>1051</v>
      </c>
      <c r="JQ207" s="32" t="s">
        <v>1060</v>
      </c>
      <c r="JR207" t="s">
        <v>1066</v>
      </c>
      <c r="JS207" t="s">
        <v>1016</v>
      </c>
      <c r="JT207" t="s">
        <v>1014</v>
      </c>
      <c r="JU207" t="s">
        <v>1</v>
      </c>
      <c r="JV207" t="s">
        <v>1424</v>
      </c>
      <c r="JW207" t="s">
        <v>842</v>
      </c>
      <c r="JX207">
        <v>0</v>
      </c>
      <c r="JY207">
        <v>80</v>
      </c>
      <c r="JZ207" t="s">
        <v>800</v>
      </c>
      <c r="KA207" t="s">
        <v>206</v>
      </c>
      <c r="KB207" t="s">
        <v>738</v>
      </c>
      <c r="KC207" t="s">
        <v>1</v>
      </c>
      <c r="KD207" t="s">
        <v>1</v>
      </c>
      <c r="KE207" t="s">
        <v>1</v>
      </c>
      <c r="KF207" t="s">
        <v>1</v>
      </c>
      <c r="KG207" t="s">
        <v>1</v>
      </c>
      <c r="KH207" t="s">
        <v>1</v>
      </c>
      <c r="KI207" t="s">
        <v>1</v>
      </c>
      <c r="KJ207" t="s">
        <v>1</v>
      </c>
      <c r="KK207" t="s">
        <v>1</v>
      </c>
    </row>
    <row r="208" spans="1:297" x14ac:dyDescent="0.2">
      <c r="A208" s="3" t="s">
        <v>907</v>
      </c>
      <c r="B208" t="s">
        <v>705</v>
      </c>
      <c r="C208" t="s">
        <v>925</v>
      </c>
      <c r="D208" t="s">
        <v>690</v>
      </c>
      <c r="E208">
        <v>29</v>
      </c>
      <c r="F208" t="s">
        <v>213</v>
      </c>
      <c r="G208" t="s">
        <v>1</v>
      </c>
      <c r="H208" s="26" t="s">
        <v>1420</v>
      </c>
      <c r="I208" t="s">
        <v>1</v>
      </c>
      <c r="J208" t="s">
        <v>1</v>
      </c>
      <c r="K208" t="s">
        <v>1</v>
      </c>
      <c r="L208" t="s">
        <v>1</v>
      </c>
      <c r="M208" t="s">
        <v>1</v>
      </c>
      <c r="N208" t="s">
        <v>1</v>
      </c>
      <c r="O208" t="s">
        <v>1</v>
      </c>
      <c r="P208" t="s">
        <v>1</v>
      </c>
      <c r="Q208" t="s">
        <v>1</v>
      </c>
      <c r="R208" t="s">
        <v>1</v>
      </c>
      <c r="S208" t="s">
        <v>1</v>
      </c>
      <c r="T208" t="s">
        <v>1</v>
      </c>
      <c r="U208" t="s">
        <v>1</v>
      </c>
      <c r="V208" t="s">
        <v>1</v>
      </c>
      <c r="W208" t="s">
        <v>1</v>
      </c>
      <c r="X208" t="s">
        <v>1</v>
      </c>
      <c r="Y208" t="s">
        <v>1</v>
      </c>
      <c r="Z208" t="s">
        <v>1</v>
      </c>
      <c r="AA208" t="s">
        <v>1</v>
      </c>
      <c r="AB208" t="s">
        <v>1</v>
      </c>
      <c r="AC208" t="s">
        <v>1</v>
      </c>
      <c r="AD208" t="s">
        <v>1</v>
      </c>
      <c r="AE208" t="s">
        <v>1</v>
      </c>
      <c r="AF208" t="s">
        <v>1</v>
      </c>
      <c r="AG208" t="s">
        <v>1</v>
      </c>
      <c r="AH208" t="s">
        <v>1</v>
      </c>
      <c r="AI208" t="s">
        <v>1</v>
      </c>
      <c r="AJ208" t="s">
        <v>1</v>
      </c>
      <c r="AK208" t="s">
        <v>1</v>
      </c>
      <c r="AL208" t="s">
        <v>1</v>
      </c>
      <c r="AM208" t="s">
        <v>1</v>
      </c>
      <c r="AN208" s="3" t="s">
        <v>907</v>
      </c>
      <c r="AO208" t="str">
        <f t="shared" si="25"/>
        <v>180-30</v>
      </c>
      <c r="AP208">
        <f t="shared" si="26"/>
        <v>29</v>
      </c>
      <c r="AQ208">
        <f t="shared" si="27"/>
        <v>29</v>
      </c>
      <c r="AR208" t="s">
        <v>1355</v>
      </c>
      <c r="AS208" t="s">
        <v>1356</v>
      </c>
      <c r="AT208" t="s">
        <v>714</v>
      </c>
      <c r="AU208" t="s">
        <v>1</v>
      </c>
      <c r="AV208" t="s">
        <v>1</v>
      </c>
      <c r="AW208">
        <v>58.37</v>
      </c>
      <c r="AX208">
        <v>13.48</v>
      </c>
      <c r="AY208" t="s">
        <v>737</v>
      </c>
      <c r="AZ208">
        <f t="shared" si="19"/>
        <v>5.3999999999999999E-2</v>
      </c>
      <c r="BA208" s="3">
        <f t="shared" si="20"/>
        <v>6</v>
      </c>
      <c r="BB208" s="10" t="s">
        <v>1355</v>
      </c>
      <c r="BC208" t="s">
        <v>1461</v>
      </c>
      <c r="BD208" s="30">
        <v>38933</v>
      </c>
      <c r="BE208" s="3" t="s">
        <v>933</v>
      </c>
      <c r="BF208" s="30">
        <v>39293</v>
      </c>
      <c r="BG208" s="19" t="s">
        <v>934</v>
      </c>
      <c r="BH208" s="19" t="s">
        <v>934</v>
      </c>
      <c r="BI208" s="19" t="s">
        <v>945</v>
      </c>
      <c r="BJ208" s="19" t="s">
        <v>934</v>
      </c>
      <c r="BK208" s="19" t="s">
        <v>945</v>
      </c>
      <c r="BL208" s="19" t="s">
        <v>945</v>
      </c>
      <c r="BM208" s="19" t="s">
        <v>945</v>
      </c>
      <c r="BN208" s="19" t="s">
        <v>934</v>
      </c>
      <c r="BO208" s="19" t="s">
        <v>945</v>
      </c>
      <c r="BP208" s="19" t="s">
        <v>945</v>
      </c>
      <c r="BQ208" s="24" t="s">
        <v>945</v>
      </c>
      <c r="BR208" s="24" t="s">
        <v>945</v>
      </c>
      <c r="BS208" s="24" t="s">
        <v>934</v>
      </c>
      <c r="BT208" s="24" t="s">
        <v>934</v>
      </c>
      <c r="BU208" s="24" t="s">
        <v>934</v>
      </c>
      <c r="BV208" s="24" t="s">
        <v>934</v>
      </c>
      <c r="BW208" s="24" t="s">
        <v>934</v>
      </c>
      <c r="BX208" s="24" t="s">
        <v>934</v>
      </c>
      <c r="BY208" s="25" t="s">
        <v>945</v>
      </c>
      <c r="BZ208" t="s">
        <v>62</v>
      </c>
      <c r="CA208" s="20" t="s">
        <v>952</v>
      </c>
      <c r="CB208" t="s">
        <v>1</v>
      </c>
      <c r="CC208" s="4">
        <v>4040</v>
      </c>
      <c r="CD208" s="4" t="s">
        <v>1</v>
      </c>
      <c r="CE208" s="4" t="s">
        <v>1</v>
      </c>
      <c r="CF208" s="5" t="s">
        <v>793</v>
      </c>
      <c r="CG208">
        <v>100</v>
      </c>
      <c r="CH208" t="s">
        <v>1</v>
      </c>
      <c r="CI208" s="28" t="s">
        <v>1</v>
      </c>
      <c r="CJ208" s="10" t="s">
        <v>1</v>
      </c>
      <c r="CK208" s="9" t="s">
        <v>1</v>
      </c>
      <c r="CL208" s="4" t="s">
        <v>1</v>
      </c>
      <c r="CM208" s="4" t="s">
        <v>1</v>
      </c>
      <c r="CN208" s="4" t="s">
        <v>1</v>
      </c>
      <c r="CO208" s="4" t="s">
        <v>1</v>
      </c>
      <c r="CP208" s="9" t="s">
        <v>1396</v>
      </c>
      <c r="CQ208" s="30">
        <v>39196</v>
      </c>
      <c r="CR208" s="30">
        <f>BF208</f>
        <v>39293</v>
      </c>
      <c r="CS208" s="4">
        <v>100</v>
      </c>
      <c r="CT208" s="4" t="s">
        <v>1458</v>
      </c>
      <c r="CU208" s="4" t="b">
        <v>1</v>
      </c>
      <c r="CV208" t="s">
        <v>855</v>
      </c>
      <c r="CW208">
        <v>100</v>
      </c>
      <c r="CX208">
        <v>0</v>
      </c>
      <c r="CY208">
        <v>30</v>
      </c>
      <c r="CZ208" t="s">
        <v>1358</v>
      </c>
      <c r="DA208" t="s">
        <v>734</v>
      </c>
      <c r="DB208">
        <v>64</v>
      </c>
      <c r="DC208">
        <v>0</v>
      </c>
      <c r="DD208">
        <v>30</v>
      </c>
      <c r="DE208" t="s">
        <v>1358</v>
      </c>
      <c r="DF208" t="s">
        <v>735</v>
      </c>
      <c r="DG208">
        <v>22</v>
      </c>
      <c r="DH208">
        <v>0</v>
      </c>
      <c r="DI208">
        <v>30</v>
      </c>
      <c r="DJ208" t="s">
        <v>1358</v>
      </c>
      <c r="DK208" t="s">
        <v>736</v>
      </c>
      <c r="DL208">
        <v>14</v>
      </c>
      <c r="DM208">
        <v>0</v>
      </c>
      <c r="DN208">
        <v>30</v>
      </c>
      <c r="DO208" t="s">
        <v>1358</v>
      </c>
      <c r="DP208" t="s">
        <v>6</v>
      </c>
      <c r="DQ208" t="s">
        <v>813</v>
      </c>
      <c r="DR208">
        <v>6.4</v>
      </c>
      <c r="DS208">
        <v>0</v>
      </c>
      <c r="DT208">
        <v>30</v>
      </c>
      <c r="DU208" t="s">
        <v>1358</v>
      </c>
      <c r="DV208" t="s">
        <v>980</v>
      </c>
      <c r="DW208">
        <v>28</v>
      </c>
      <c r="DX208">
        <v>0</v>
      </c>
      <c r="DY208">
        <v>30</v>
      </c>
      <c r="DZ208" t="s">
        <v>1358</v>
      </c>
      <c r="EA208" t="s">
        <v>982</v>
      </c>
      <c r="EB208">
        <v>16</v>
      </c>
      <c r="EC208">
        <v>0</v>
      </c>
      <c r="ED208">
        <v>30</v>
      </c>
      <c r="EE208" t="s">
        <v>1358</v>
      </c>
      <c r="EG208" t="s">
        <v>981</v>
      </c>
      <c r="EH208">
        <f t="shared" si="21"/>
        <v>1.4</v>
      </c>
      <c r="EI208">
        <v>0</v>
      </c>
      <c r="EJ208">
        <v>30</v>
      </c>
      <c r="EK208" t="s">
        <v>1358</v>
      </c>
      <c r="EL208" t="s">
        <v>734</v>
      </c>
      <c r="EM208">
        <v>71</v>
      </c>
      <c r="EN208">
        <v>30</v>
      </c>
      <c r="EO208">
        <v>60</v>
      </c>
      <c r="EP208" t="s">
        <v>1358</v>
      </c>
      <c r="EQ208" t="s">
        <v>735</v>
      </c>
      <c r="ER208">
        <v>17</v>
      </c>
      <c r="ES208">
        <v>30</v>
      </c>
      <c r="ET208">
        <v>60</v>
      </c>
      <c r="EU208" t="s">
        <v>1358</v>
      </c>
      <c r="EV208" t="s">
        <v>736</v>
      </c>
      <c r="EW208">
        <v>12</v>
      </c>
      <c r="EX208">
        <v>30</v>
      </c>
      <c r="EY208">
        <v>60</v>
      </c>
      <c r="EZ208" t="s">
        <v>1358</v>
      </c>
      <c r="FA208" t="s">
        <v>980</v>
      </c>
      <c r="FB208">
        <v>25</v>
      </c>
      <c r="FC208">
        <v>30</v>
      </c>
      <c r="FD208">
        <v>60</v>
      </c>
      <c r="FE208" t="s">
        <v>1358</v>
      </c>
      <c r="FF208" t="s">
        <v>734</v>
      </c>
      <c r="FG208">
        <f t="shared" si="22"/>
        <v>67.34</v>
      </c>
      <c r="FH208">
        <v>60</v>
      </c>
      <c r="FI208">
        <v>90</v>
      </c>
      <c r="FJ208" t="s">
        <v>1358</v>
      </c>
      <c r="FK208" t="s">
        <v>735</v>
      </c>
      <c r="FL208">
        <f t="shared" si="23"/>
        <v>20.100000000000001</v>
      </c>
      <c r="FM208">
        <v>60</v>
      </c>
      <c r="FN208">
        <v>90</v>
      </c>
      <c r="FO208" t="s">
        <v>1358</v>
      </c>
      <c r="FP208" t="s">
        <v>736</v>
      </c>
      <c r="FQ208">
        <f t="shared" si="24"/>
        <v>12.56</v>
      </c>
      <c r="FR208">
        <v>60</v>
      </c>
      <c r="FS208">
        <v>90</v>
      </c>
      <c r="FT208" t="s">
        <v>1358</v>
      </c>
      <c r="FU208" t="s">
        <v>980</v>
      </c>
      <c r="FV208">
        <v>25</v>
      </c>
      <c r="FW208">
        <v>60</v>
      </c>
      <c r="FX208">
        <v>90</v>
      </c>
      <c r="FY208" t="s">
        <v>1358</v>
      </c>
      <c r="FZ208" t="s">
        <v>957</v>
      </c>
      <c r="GA208" t="s">
        <v>958</v>
      </c>
      <c r="GB208" t="s">
        <v>959</v>
      </c>
      <c r="GC208" t="s">
        <v>1</v>
      </c>
      <c r="GD208" t="s">
        <v>1</v>
      </c>
      <c r="GE208" s="26" t="s">
        <v>1358</v>
      </c>
      <c r="GF208" t="s">
        <v>957</v>
      </c>
      <c r="GG208" t="s">
        <v>961</v>
      </c>
      <c r="GH208" t="s">
        <v>960</v>
      </c>
      <c r="GI208" s="20">
        <v>1961</v>
      </c>
      <c r="GJ208" s="20">
        <v>1990</v>
      </c>
      <c r="GK208" s="26" t="s">
        <v>1358</v>
      </c>
      <c r="GL208" t="s">
        <v>953</v>
      </c>
      <c r="GM208" t="s">
        <v>955</v>
      </c>
      <c r="GN208" t="s">
        <v>954</v>
      </c>
      <c r="GO208" s="5" t="s">
        <v>956</v>
      </c>
      <c r="GP208" s="5" t="s">
        <v>1382</v>
      </c>
      <c r="GQ208" s="5" t="s">
        <v>962</v>
      </c>
      <c r="GR208" s="5" t="s">
        <v>963</v>
      </c>
      <c r="GS208" s="5" t="s">
        <v>959</v>
      </c>
      <c r="GT208" s="26" t="s">
        <v>1358</v>
      </c>
      <c r="GU208" s="5" t="s">
        <v>962</v>
      </c>
      <c r="GV208" s="5" t="s">
        <v>964</v>
      </c>
      <c r="GW208" s="5" t="s">
        <v>960</v>
      </c>
      <c r="GX208" s="20">
        <v>1961</v>
      </c>
      <c r="GY208" s="20">
        <v>1990</v>
      </c>
      <c r="GZ208" s="26" t="s">
        <v>1358</v>
      </c>
      <c r="HA208" s="5" t="s">
        <v>1</v>
      </c>
      <c r="HB208" s="5" t="s">
        <v>1</v>
      </c>
      <c r="HC208" s="5" t="s">
        <v>1</v>
      </c>
      <c r="HD208" s="5" t="s">
        <v>1</v>
      </c>
      <c r="HE208" t="s">
        <v>1</v>
      </c>
      <c r="HF208" s="5" t="s">
        <v>1</v>
      </c>
      <c r="HG208" s="5" t="s">
        <v>1</v>
      </c>
      <c r="HH208" s="5" t="s">
        <v>1</v>
      </c>
      <c r="HI208" s="5" t="s">
        <v>1</v>
      </c>
      <c r="HJ208" t="s">
        <v>1</v>
      </c>
      <c r="HK208" t="s">
        <v>1</v>
      </c>
      <c r="HL208" t="s">
        <v>1</v>
      </c>
      <c r="HM208" t="s">
        <v>1</v>
      </c>
      <c r="HN208" t="s">
        <v>1</v>
      </c>
      <c r="HO208" t="s">
        <v>1</v>
      </c>
      <c r="HP208" t="s">
        <v>1</v>
      </c>
      <c r="HQ208" t="s">
        <v>983</v>
      </c>
      <c r="HR208" t="s">
        <v>1042</v>
      </c>
      <c r="HS208" s="5" t="s">
        <v>1049</v>
      </c>
      <c r="HT208" s="28" t="s">
        <v>1425</v>
      </c>
      <c r="HU208" s="5" t="s">
        <v>842</v>
      </c>
      <c r="HV208" s="5" t="s">
        <v>1358</v>
      </c>
      <c r="HW208" t="s">
        <v>937</v>
      </c>
      <c r="HX208" s="3" t="s">
        <v>1</v>
      </c>
      <c r="HY208" s="30">
        <v>39171</v>
      </c>
      <c r="HZ208" t="s">
        <v>1295</v>
      </c>
      <c r="IA208">
        <v>100</v>
      </c>
      <c r="IB208" s="10" t="s">
        <v>1</v>
      </c>
      <c r="IC208" s="10">
        <v>15</v>
      </c>
      <c r="ID208" s="10" t="s">
        <v>984</v>
      </c>
      <c r="IE208" s="10" t="s">
        <v>1</v>
      </c>
      <c r="IF208" s="10" t="s">
        <v>1</v>
      </c>
      <c r="IG208" t="s">
        <v>1</v>
      </c>
      <c r="IH208" s="10" t="s">
        <v>1</v>
      </c>
      <c r="II208" s="10" t="s">
        <v>1</v>
      </c>
      <c r="IJ208" s="10" t="s">
        <v>1</v>
      </c>
      <c r="IK208" t="s">
        <v>1</v>
      </c>
      <c r="IL208" s="10" t="s">
        <v>1</v>
      </c>
      <c r="IM208" s="10" t="s">
        <v>1</v>
      </c>
      <c r="IN208" s="10" t="s">
        <v>1</v>
      </c>
      <c r="IO208" s="10" t="s">
        <v>1</v>
      </c>
      <c r="IP208" s="10" t="s">
        <v>1</v>
      </c>
      <c r="IQ208" s="10" t="s">
        <v>1</v>
      </c>
      <c r="IR208" s="10" t="s">
        <v>1</v>
      </c>
      <c r="IS208" t="s">
        <v>1</v>
      </c>
      <c r="IT208" t="s">
        <v>1</v>
      </c>
      <c r="IW208" t="s">
        <v>1</v>
      </c>
      <c r="IX208" t="s">
        <v>1</v>
      </c>
      <c r="IY208" t="s">
        <v>1</v>
      </c>
      <c r="IZ208" t="s">
        <v>1</v>
      </c>
      <c r="JA208" t="s">
        <v>1</v>
      </c>
      <c r="JB208" s="3" t="s">
        <v>1</v>
      </c>
      <c r="JC208" t="s">
        <v>1</v>
      </c>
      <c r="JD208" s="4" t="s">
        <v>1</v>
      </c>
      <c r="JE208" t="s">
        <v>810</v>
      </c>
      <c r="JF208">
        <v>100</v>
      </c>
      <c r="JG208" t="s">
        <v>859</v>
      </c>
      <c r="JH208" t="s">
        <v>1391</v>
      </c>
      <c r="JI208" t="s">
        <v>1054</v>
      </c>
      <c r="JJ208" t="s">
        <v>1</v>
      </c>
      <c r="JK208" s="33" t="s">
        <v>1055</v>
      </c>
      <c r="JL208" t="s">
        <v>1</v>
      </c>
      <c r="JM208" t="s">
        <v>1</v>
      </c>
      <c r="JN208" t="s">
        <v>1050</v>
      </c>
      <c r="JO208" s="30">
        <v>39171</v>
      </c>
      <c r="JP208" t="s">
        <v>1051</v>
      </c>
      <c r="JQ208" s="32" t="s">
        <v>1060</v>
      </c>
      <c r="JR208" t="s">
        <v>1066</v>
      </c>
      <c r="JS208" t="s">
        <v>1017</v>
      </c>
      <c r="JT208" t="s">
        <v>1014</v>
      </c>
      <c r="JU208" t="s">
        <v>1</v>
      </c>
      <c r="JV208" t="s">
        <v>1424</v>
      </c>
      <c r="JW208" t="s">
        <v>842</v>
      </c>
      <c r="JX208">
        <v>0</v>
      </c>
      <c r="JY208">
        <v>80</v>
      </c>
      <c r="JZ208" t="s">
        <v>800</v>
      </c>
      <c r="KA208" t="s">
        <v>206</v>
      </c>
      <c r="KB208" t="s">
        <v>738</v>
      </c>
      <c r="KC208" t="s">
        <v>1</v>
      </c>
      <c r="KD208" t="s">
        <v>1</v>
      </c>
      <c r="KE208" t="s">
        <v>1</v>
      </c>
      <c r="KF208" t="s">
        <v>1</v>
      </c>
      <c r="KG208" t="s">
        <v>1</v>
      </c>
      <c r="KH208" t="s">
        <v>1</v>
      </c>
      <c r="KI208" t="s">
        <v>1</v>
      </c>
      <c r="KJ208" t="s">
        <v>1</v>
      </c>
      <c r="KK208" t="s">
        <v>1</v>
      </c>
    </row>
    <row r="209" spans="1:297" x14ac:dyDescent="0.2">
      <c r="A209" s="3" t="s">
        <v>908</v>
      </c>
      <c r="B209" t="s">
        <v>705</v>
      </c>
      <c r="C209" t="s">
        <v>926</v>
      </c>
      <c r="D209" t="s">
        <v>690</v>
      </c>
      <c r="E209">
        <v>29</v>
      </c>
      <c r="F209" t="s">
        <v>213</v>
      </c>
      <c r="G209" t="s">
        <v>1</v>
      </c>
      <c r="H209" s="26" t="s">
        <v>1420</v>
      </c>
      <c r="I209" t="s">
        <v>1</v>
      </c>
      <c r="J209" t="s">
        <v>1</v>
      </c>
      <c r="K209" t="s">
        <v>1</v>
      </c>
      <c r="L209" t="s">
        <v>1</v>
      </c>
      <c r="M209" t="s">
        <v>1</v>
      </c>
      <c r="N209" t="s">
        <v>1</v>
      </c>
      <c r="O209" t="s">
        <v>1</v>
      </c>
      <c r="P209" t="s">
        <v>1</v>
      </c>
      <c r="Q209" t="s">
        <v>1</v>
      </c>
      <c r="R209" t="s">
        <v>1</v>
      </c>
      <c r="S209" t="s">
        <v>1</v>
      </c>
      <c r="T209" t="s">
        <v>1</v>
      </c>
      <c r="U209" t="s">
        <v>1</v>
      </c>
      <c r="V209" t="s">
        <v>1</v>
      </c>
      <c r="W209" t="s">
        <v>1</v>
      </c>
      <c r="X209" t="s">
        <v>1</v>
      </c>
      <c r="Y209" t="s">
        <v>1</v>
      </c>
      <c r="Z209" t="s">
        <v>1</v>
      </c>
      <c r="AA209" t="s">
        <v>1</v>
      </c>
      <c r="AB209" t="s">
        <v>1</v>
      </c>
      <c r="AC209" t="s">
        <v>1</v>
      </c>
      <c r="AD209" t="s">
        <v>1</v>
      </c>
      <c r="AE209" t="s">
        <v>1</v>
      </c>
      <c r="AF209" t="s">
        <v>1</v>
      </c>
      <c r="AG209" t="s">
        <v>1</v>
      </c>
      <c r="AH209" t="s">
        <v>1</v>
      </c>
      <c r="AI209" t="s">
        <v>1</v>
      </c>
      <c r="AJ209" t="s">
        <v>1</v>
      </c>
      <c r="AK209" t="s">
        <v>1</v>
      </c>
      <c r="AL209" t="s">
        <v>1</v>
      </c>
      <c r="AM209" t="s">
        <v>1</v>
      </c>
      <c r="AN209" s="3" t="s">
        <v>908</v>
      </c>
      <c r="AO209" t="str">
        <f t="shared" si="25"/>
        <v>180-31</v>
      </c>
      <c r="AP209">
        <f t="shared" si="26"/>
        <v>29</v>
      </c>
      <c r="AQ209">
        <f t="shared" si="27"/>
        <v>29</v>
      </c>
      <c r="AR209" t="s">
        <v>1355</v>
      </c>
      <c r="AS209" t="s">
        <v>1356</v>
      </c>
      <c r="AT209" t="s">
        <v>714</v>
      </c>
      <c r="AU209" t="s">
        <v>1</v>
      </c>
      <c r="AV209" t="s">
        <v>1</v>
      </c>
      <c r="AW209">
        <v>58.37</v>
      </c>
      <c r="AX209">
        <v>13.48</v>
      </c>
      <c r="AY209" t="s">
        <v>737</v>
      </c>
      <c r="AZ209">
        <f t="shared" si="19"/>
        <v>5.3999999999999999E-2</v>
      </c>
      <c r="BA209" s="3">
        <f t="shared" si="20"/>
        <v>6</v>
      </c>
      <c r="BB209" s="10" t="s">
        <v>1355</v>
      </c>
      <c r="BC209" t="s">
        <v>1461</v>
      </c>
      <c r="BD209" s="30">
        <v>38933</v>
      </c>
      <c r="BE209" s="3" t="s">
        <v>933</v>
      </c>
      <c r="BF209" s="30">
        <v>39293</v>
      </c>
      <c r="BG209" s="19" t="s">
        <v>934</v>
      </c>
      <c r="BH209" s="19" t="s">
        <v>934</v>
      </c>
      <c r="BI209" s="19" t="s">
        <v>945</v>
      </c>
      <c r="BJ209" s="19" t="s">
        <v>934</v>
      </c>
      <c r="BK209" s="19" t="s">
        <v>945</v>
      </c>
      <c r="BL209" s="19" t="s">
        <v>945</v>
      </c>
      <c r="BM209" s="19" t="s">
        <v>945</v>
      </c>
      <c r="BN209" s="19" t="s">
        <v>934</v>
      </c>
      <c r="BO209" s="19" t="s">
        <v>945</v>
      </c>
      <c r="BP209" s="19" t="s">
        <v>945</v>
      </c>
      <c r="BQ209" s="24" t="s">
        <v>945</v>
      </c>
      <c r="BR209" s="24" t="s">
        <v>945</v>
      </c>
      <c r="BS209" s="24" t="s">
        <v>934</v>
      </c>
      <c r="BT209" s="24" t="s">
        <v>934</v>
      </c>
      <c r="BU209" s="24" t="s">
        <v>934</v>
      </c>
      <c r="BV209" s="24" t="s">
        <v>934</v>
      </c>
      <c r="BW209" s="24" t="s">
        <v>934</v>
      </c>
      <c r="BX209" s="24" t="s">
        <v>934</v>
      </c>
      <c r="BY209" s="25" t="s">
        <v>945</v>
      </c>
      <c r="BZ209" t="s">
        <v>62</v>
      </c>
      <c r="CA209" s="20" t="s">
        <v>950</v>
      </c>
      <c r="CB209" t="s">
        <v>1</v>
      </c>
      <c r="CC209" s="4">
        <v>7030</v>
      </c>
      <c r="CD209" s="4" t="s">
        <v>1</v>
      </c>
      <c r="CE209" s="4" t="s">
        <v>1</v>
      </c>
      <c r="CF209" s="5" t="s">
        <v>793</v>
      </c>
      <c r="CG209">
        <v>100</v>
      </c>
      <c r="CH209" t="s">
        <v>1</v>
      </c>
      <c r="CI209" s="28" t="s">
        <v>1</v>
      </c>
      <c r="CJ209" s="10" t="s">
        <v>1</v>
      </c>
      <c r="CK209" s="9" t="s">
        <v>1</v>
      </c>
      <c r="CL209" s="4" t="s">
        <v>1</v>
      </c>
      <c r="CM209" s="4" t="s">
        <v>1</v>
      </c>
      <c r="CN209" s="4" t="s">
        <v>1</v>
      </c>
      <c r="CO209" s="4" t="s">
        <v>1</v>
      </c>
      <c r="CP209" s="9" t="s">
        <v>1396</v>
      </c>
      <c r="CQ209" s="30">
        <v>39208</v>
      </c>
      <c r="CR209" s="30">
        <f>BF209</f>
        <v>39293</v>
      </c>
      <c r="CS209" s="4">
        <v>100</v>
      </c>
      <c r="CT209" s="4" t="s">
        <v>1458</v>
      </c>
      <c r="CU209" s="4" t="b">
        <v>1</v>
      </c>
      <c r="CV209" t="s">
        <v>855</v>
      </c>
      <c r="CW209">
        <v>100</v>
      </c>
      <c r="CX209">
        <v>0</v>
      </c>
      <c r="CY209">
        <v>30</v>
      </c>
      <c r="CZ209" t="s">
        <v>1358</v>
      </c>
      <c r="DA209" t="s">
        <v>734</v>
      </c>
      <c r="DB209">
        <v>64</v>
      </c>
      <c r="DC209">
        <v>0</v>
      </c>
      <c r="DD209">
        <v>30</v>
      </c>
      <c r="DE209" t="s">
        <v>1358</v>
      </c>
      <c r="DF209" t="s">
        <v>735</v>
      </c>
      <c r="DG209">
        <v>22</v>
      </c>
      <c r="DH209">
        <v>0</v>
      </c>
      <c r="DI209">
        <v>30</v>
      </c>
      <c r="DJ209" t="s">
        <v>1358</v>
      </c>
      <c r="DK209" t="s">
        <v>736</v>
      </c>
      <c r="DL209">
        <v>14</v>
      </c>
      <c r="DM209">
        <v>0</v>
      </c>
      <c r="DN209">
        <v>30</v>
      </c>
      <c r="DO209" t="s">
        <v>1358</v>
      </c>
      <c r="DP209" t="s">
        <v>6</v>
      </c>
      <c r="DQ209" t="s">
        <v>813</v>
      </c>
      <c r="DR209">
        <v>6.4</v>
      </c>
      <c r="DS209">
        <v>0</v>
      </c>
      <c r="DT209">
        <v>30</v>
      </c>
      <c r="DU209" t="s">
        <v>1358</v>
      </c>
      <c r="DV209" t="s">
        <v>980</v>
      </c>
      <c r="DW209">
        <v>28</v>
      </c>
      <c r="DX209">
        <v>0</v>
      </c>
      <c r="DY209">
        <v>30</v>
      </c>
      <c r="DZ209" t="s">
        <v>1358</v>
      </c>
      <c r="EA209" t="s">
        <v>982</v>
      </c>
      <c r="EB209">
        <v>16</v>
      </c>
      <c r="EC209">
        <v>0</v>
      </c>
      <c r="ED209">
        <v>30</v>
      </c>
      <c r="EE209" t="s">
        <v>1358</v>
      </c>
      <c r="EG209" t="s">
        <v>981</v>
      </c>
      <c r="EH209">
        <f t="shared" si="21"/>
        <v>1.4</v>
      </c>
      <c r="EI209">
        <v>0</v>
      </c>
      <c r="EJ209">
        <v>30</v>
      </c>
      <c r="EK209" t="s">
        <v>1358</v>
      </c>
      <c r="EL209" t="s">
        <v>734</v>
      </c>
      <c r="EM209">
        <v>71</v>
      </c>
      <c r="EN209">
        <v>30</v>
      </c>
      <c r="EO209">
        <v>60</v>
      </c>
      <c r="EP209" t="s">
        <v>1358</v>
      </c>
      <c r="EQ209" t="s">
        <v>735</v>
      </c>
      <c r="ER209">
        <v>17</v>
      </c>
      <c r="ES209">
        <v>30</v>
      </c>
      <c r="ET209">
        <v>60</v>
      </c>
      <c r="EU209" t="s">
        <v>1358</v>
      </c>
      <c r="EV209" t="s">
        <v>736</v>
      </c>
      <c r="EW209">
        <v>12</v>
      </c>
      <c r="EX209">
        <v>30</v>
      </c>
      <c r="EY209">
        <v>60</v>
      </c>
      <c r="EZ209" t="s">
        <v>1358</v>
      </c>
      <c r="FA209" t="s">
        <v>980</v>
      </c>
      <c r="FB209">
        <v>25</v>
      </c>
      <c r="FC209">
        <v>30</v>
      </c>
      <c r="FD209">
        <v>60</v>
      </c>
      <c r="FE209" t="s">
        <v>1358</v>
      </c>
      <c r="FF209" t="s">
        <v>734</v>
      </c>
      <c r="FG209">
        <f t="shared" si="22"/>
        <v>67.34</v>
      </c>
      <c r="FH209">
        <v>60</v>
      </c>
      <c r="FI209">
        <v>90</v>
      </c>
      <c r="FJ209" t="s">
        <v>1358</v>
      </c>
      <c r="FK209" t="s">
        <v>735</v>
      </c>
      <c r="FL209">
        <f t="shared" si="23"/>
        <v>20.100000000000001</v>
      </c>
      <c r="FM209">
        <v>60</v>
      </c>
      <c r="FN209">
        <v>90</v>
      </c>
      <c r="FO209" t="s">
        <v>1358</v>
      </c>
      <c r="FP209" t="s">
        <v>736</v>
      </c>
      <c r="FQ209">
        <f t="shared" si="24"/>
        <v>12.56</v>
      </c>
      <c r="FR209">
        <v>60</v>
      </c>
      <c r="FS209">
        <v>90</v>
      </c>
      <c r="FT209" t="s">
        <v>1358</v>
      </c>
      <c r="FU209" t="s">
        <v>980</v>
      </c>
      <c r="FV209">
        <v>25</v>
      </c>
      <c r="FW209">
        <v>60</v>
      </c>
      <c r="FX209">
        <v>90</v>
      </c>
      <c r="FY209" t="s">
        <v>1358</v>
      </c>
      <c r="FZ209" t="s">
        <v>957</v>
      </c>
      <c r="GA209" t="s">
        <v>958</v>
      </c>
      <c r="GB209" t="s">
        <v>959</v>
      </c>
      <c r="GC209" t="s">
        <v>1</v>
      </c>
      <c r="GD209" t="s">
        <v>1</v>
      </c>
      <c r="GE209" s="26" t="s">
        <v>1358</v>
      </c>
      <c r="GF209" t="s">
        <v>957</v>
      </c>
      <c r="GG209" t="s">
        <v>961</v>
      </c>
      <c r="GH209" t="s">
        <v>960</v>
      </c>
      <c r="GI209" s="20">
        <v>1961</v>
      </c>
      <c r="GJ209" s="20">
        <v>1990</v>
      </c>
      <c r="GK209" s="26" t="s">
        <v>1358</v>
      </c>
      <c r="GL209" t="s">
        <v>953</v>
      </c>
      <c r="GM209" t="s">
        <v>955</v>
      </c>
      <c r="GN209" t="s">
        <v>954</v>
      </c>
      <c r="GO209" s="5" t="s">
        <v>956</v>
      </c>
      <c r="GP209" s="5" t="s">
        <v>1382</v>
      </c>
      <c r="GQ209" s="5" t="s">
        <v>962</v>
      </c>
      <c r="GR209" s="5" t="s">
        <v>963</v>
      </c>
      <c r="GS209" s="5" t="s">
        <v>959</v>
      </c>
      <c r="GT209" s="26" t="s">
        <v>1358</v>
      </c>
      <c r="GU209" s="5" t="s">
        <v>962</v>
      </c>
      <c r="GV209" s="5" t="s">
        <v>964</v>
      </c>
      <c r="GW209" s="5" t="s">
        <v>960</v>
      </c>
      <c r="GX209" s="20">
        <v>1961</v>
      </c>
      <c r="GY209" s="20">
        <v>1990</v>
      </c>
      <c r="GZ209" s="26" t="s">
        <v>1358</v>
      </c>
      <c r="HA209" s="5" t="s">
        <v>1</v>
      </c>
      <c r="HB209" s="5" t="s">
        <v>1</v>
      </c>
      <c r="HC209" s="5" t="s">
        <v>1</v>
      </c>
      <c r="HD209" s="5" t="s">
        <v>1</v>
      </c>
      <c r="HE209" t="s">
        <v>1</v>
      </c>
      <c r="HF209" s="5" t="s">
        <v>1</v>
      </c>
      <c r="HG209" s="5" t="s">
        <v>1</v>
      </c>
      <c r="HH209" s="5" t="s">
        <v>1</v>
      </c>
      <c r="HI209" s="5" t="s">
        <v>1</v>
      </c>
      <c r="HJ209" t="s">
        <v>1</v>
      </c>
      <c r="HK209" t="s">
        <v>1</v>
      </c>
      <c r="HL209" t="s">
        <v>1</v>
      </c>
      <c r="HM209" t="s">
        <v>1</v>
      </c>
      <c r="HN209" t="s">
        <v>1</v>
      </c>
      <c r="HO209" t="s">
        <v>1</v>
      </c>
      <c r="HP209" t="s">
        <v>1</v>
      </c>
      <c r="HQ209" t="s">
        <v>983</v>
      </c>
      <c r="HR209" t="s">
        <v>1043</v>
      </c>
      <c r="HS209" s="5" t="s">
        <v>1049</v>
      </c>
      <c r="HT209" s="28" t="s">
        <v>1425</v>
      </c>
      <c r="HU209" s="5" t="s">
        <v>842</v>
      </c>
      <c r="HV209" s="5" t="s">
        <v>1358</v>
      </c>
      <c r="HW209" t="s">
        <v>937</v>
      </c>
      <c r="HX209" s="3" t="s">
        <v>1</v>
      </c>
      <c r="HY209" s="30">
        <v>38978</v>
      </c>
      <c r="HZ209" t="s">
        <v>1295</v>
      </c>
      <c r="IA209">
        <v>100</v>
      </c>
      <c r="IB209" s="10" t="s">
        <v>1</v>
      </c>
      <c r="IC209" s="10">
        <v>15</v>
      </c>
      <c r="ID209" s="10" t="s">
        <v>984</v>
      </c>
      <c r="IE209" s="10" t="s">
        <v>1</v>
      </c>
      <c r="IF209" s="10" t="s">
        <v>1</v>
      </c>
      <c r="IG209" t="s">
        <v>1</v>
      </c>
      <c r="IH209" s="10" t="s">
        <v>1</v>
      </c>
      <c r="II209" s="10" t="s">
        <v>1</v>
      </c>
      <c r="IJ209" s="10" t="s">
        <v>1</v>
      </c>
      <c r="IK209" t="s">
        <v>1</v>
      </c>
      <c r="IL209" s="10" t="s">
        <v>1</v>
      </c>
      <c r="IM209" s="10" t="s">
        <v>1</v>
      </c>
      <c r="IN209" s="10" t="s">
        <v>1</v>
      </c>
      <c r="IO209" s="10" t="s">
        <v>1</v>
      </c>
      <c r="IP209" s="10" t="s">
        <v>1</v>
      </c>
      <c r="IQ209" s="10" t="s">
        <v>1</v>
      </c>
      <c r="IR209" s="10" t="s">
        <v>1</v>
      </c>
      <c r="IS209" t="s">
        <v>1</v>
      </c>
      <c r="IT209" t="s">
        <v>1</v>
      </c>
      <c r="IW209" t="s">
        <v>1</v>
      </c>
      <c r="IX209" t="s">
        <v>1</v>
      </c>
      <c r="IY209" t="s">
        <v>1</v>
      </c>
      <c r="IZ209" t="s">
        <v>1</v>
      </c>
      <c r="JA209" t="s">
        <v>1</v>
      </c>
      <c r="JB209" s="3" t="s">
        <v>1</v>
      </c>
      <c r="JC209" t="s">
        <v>1</v>
      </c>
      <c r="JD209" s="4" t="s">
        <v>1</v>
      </c>
      <c r="JE209" t="s">
        <v>810</v>
      </c>
      <c r="JF209">
        <v>100</v>
      </c>
      <c r="JG209" t="s">
        <v>859</v>
      </c>
      <c r="JH209" t="s">
        <v>1393</v>
      </c>
      <c r="JI209" t="s">
        <v>947</v>
      </c>
      <c r="JJ209" t="s">
        <v>1</v>
      </c>
      <c r="JK209" s="33" t="s">
        <v>1053</v>
      </c>
      <c r="JL209" t="s">
        <v>1</v>
      </c>
      <c r="JM209" t="s">
        <v>1</v>
      </c>
      <c r="JN209" t="s">
        <v>1050</v>
      </c>
      <c r="JO209" s="30">
        <v>38978</v>
      </c>
      <c r="JP209" t="s">
        <v>1051</v>
      </c>
      <c r="JQ209" s="32" t="s">
        <v>1060</v>
      </c>
      <c r="JR209" t="s">
        <v>1066</v>
      </c>
      <c r="JS209" t="s">
        <v>1018</v>
      </c>
      <c r="JT209" t="s">
        <v>1014</v>
      </c>
      <c r="JU209" t="s">
        <v>1</v>
      </c>
      <c r="JV209" t="s">
        <v>1424</v>
      </c>
      <c r="JW209" t="s">
        <v>842</v>
      </c>
      <c r="JX209">
        <v>0</v>
      </c>
      <c r="JY209">
        <v>80</v>
      </c>
      <c r="JZ209" t="s">
        <v>800</v>
      </c>
      <c r="KA209" t="s">
        <v>206</v>
      </c>
      <c r="KB209" t="s">
        <v>738</v>
      </c>
      <c r="KC209" t="s">
        <v>1</v>
      </c>
      <c r="KD209" t="s">
        <v>1</v>
      </c>
      <c r="KE209" t="s">
        <v>1</v>
      </c>
      <c r="KF209" t="s">
        <v>1</v>
      </c>
      <c r="KG209" t="s">
        <v>1</v>
      </c>
      <c r="KH209" t="s">
        <v>1</v>
      </c>
      <c r="KI209" t="s">
        <v>1</v>
      </c>
      <c r="KJ209" t="s">
        <v>1</v>
      </c>
      <c r="KK209" t="s">
        <v>1</v>
      </c>
    </row>
    <row r="210" spans="1:297" x14ac:dyDescent="0.2">
      <c r="A210" s="3" t="s">
        <v>909</v>
      </c>
      <c r="B210" t="s">
        <v>705</v>
      </c>
      <c r="C210" t="s">
        <v>927</v>
      </c>
      <c r="D210" t="s">
        <v>690</v>
      </c>
      <c r="E210">
        <v>29</v>
      </c>
      <c r="F210" t="s">
        <v>213</v>
      </c>
      <c r="G210" t="s">
        <v>1</v>
      </c>
      <c r="H210" s="26" t="s">
        <v>1420</v>
      </c>
      <c r="I210" t="s">
        <v>1</v>
      </c>
      <c r="J210" t="s">
        <v>1</v>
      </c>
      <c r="K210" t="s">
        <v>1</v>
      </c>
      <c r="L210" t="s">
        <v>1</v>
      </c>
      <c r="M210" t="s">
        <v>1</v>
      </c>
      <c r="N210" t="s">
        <v>1</v>
      </c>
      <c r="O210" t="s">
        <v>1</v>
      </c>
      <c r="P210" t="s">
        <v>1</v>
      </c>
      <c r="Q210" t="s">
        <v>1</v>
      </c>
      <c r="R210" t="s">
        <v>1</v>
      </c>
      <c r="S210" t="s">
        <v>1</v>
      </c>
      <c r="T210" t="s">
        <v>1</v>
      </c>
      <c r="U210" t="s">
        <v>1</v>
      </c>
      <c r="V210" t="s">
        <v>1</v>
      </c>
      <c r="W210" t="s">
        <v>1</v>
      </c>
      <c r="X210" t="s">
        <v>1</v>
      </c>
      <c r="Y210" t="s">
        <v>1</v>
      </c>
      <c r="Z210" t="s">
        <v>1</v>
      </c>
      <c r="AA210" t="s">
        <v>1</v>
      </c>
      <c r="AB210" t="s">
        <v>1</v>
      </c>
      <c r="AC210" t="s">
        <v>1</v>
      </c>
      <c r="AD210" t="s">
        <v>1</v>
      </c>
      <c r="AE210" t="s">
        <v>1</v>
      </c>
      <c r="AF210" t="s">
        <v>1</v>
      </c>
      <c r="AG210" t="s">
        <v>1</v>
      </c>
      <c r="AH210" t="s">
        <v>1</v>
      </c>
      <c r="AI210" t="s">
        <v>1</v>
      </c>
      <c r="AJ210" t="s">
        <v>1</v>
      </c>
      <c r="AK210" t="s">
        <v>1</v>
      </c>
      <c r="AL210" t="s">
        <v>1</v>
      </c>
      <c r="AM210" t="s">
        <v>1</v>
      </c>
      <c r="AN210" s="3" t="s">
        <v>909</v>
      </c>
      <c r="AO210" t="str">
        <f t="shared" si="25"/>
        <v>180-32</v>
      </c>
      <c r="AP210">
        <f t="shared" si="26"/>
        <v>29</v>
      </c>
      <c r="AQ210">
        <f t="shared" si="27"/>
        <v>29</v>
      </c>
      <c r="AR210" t="s">
        <v>1355</v>
      </c>
      <c r="AS210" t="s">
        <v>1356</v>
      </c>
      <c r="AT210" t="s">
        <v>714</v>
      </c>
      <c r="AU210" t="s">
        <v>1</v>
      </c>
      <c r="AV210" t="s">
        <v>1</v>
      </c>
      <c r="AW210">
        <v>58.37</v>
      </c>
      <c r="AX210">
        <v>13.48</v>
      </c>
      <c r="AY210" t="s">
        <v>737</v>
      </c>
      <c r="AZ210">
        <f t="shared" si="19"/>
        <v>5.3999999999999999E-2</v>
      </c>
      <c r="BA210" s="3">
        <f t="shared" si="20"/>
        <v>6</v>
      </c>
      <c r="BB210" s="10" t="s">
        <v>1355</v>
      </c>
      <c r="BC210" t="s">
        <v>1461</v>
      </c>
      <c r="BD210" s="30">
        <v>38933</v>
      </c>
      <c r="BE210" s="3" t="s">
        <v>933</v>
      </c>
      <c r="BF210" s="30">
        <v>39293</v>
      </c>
      <c r="BG210" s="19" t="s">
        <v>934</v>
      </c>
      <c r="BH210" s="19" t="s">
        <v>934</v>
      </c>
      <c r="BI210" s="19" t="s">
        <v>945</v>
      </c>
      <c r="BJ210" s="19" t="s">
        <v>934</v>
      </c>
      <c r="BK210" s="19" t="s">
        <v>945</v>
      </c>
      <c r="BL210" s="19" t="s">
        <v>945</v>
      </c>
      <c r="BM210" s="19" t="s">
        <v>945</v>
      </c>
      <c r="BN210" s="19" t="s">
        <v>934</v>
      </c>
      <c r="BO210" s="19" t="s">
        <v>945</v>
      </c>
      <c r="BP210" s="19" t="s">
        <v>945</v>
      </c>
      <c r="BQ210" s="24" t="s">
        <v>945</v>
      </c>
      <c r="BR210" s="24" t="s">
        <v>945</v>
      </c>
      <c r="BS210" s="24" t="s">
        <v>934</v>
      </c>
      <c r="BT210" s="24" t="s">
        <v>934</v>
      </c>
      <c r="BU210" s="24" t="s">
        <v>934</v>
      </c>
      <c r="BV210" s="24" t="s">
        <v>934</v>
      </c>
      <c r="BW210" s="24" t="s">
        <v>934</v>
      </c>
      <c r="BX210" s="24" t="s">
        <v>934</v>
      </c>
      <c r="BY210" s="25" t="s">
        <v>945</v>
      </c>
      <c r="BZ210" t="s">
        <v>62</v>
      </c>
      <c r="CA210" s="20" t="s">
        <v>950</v>
      </c>
      <c r="CB210" t="s">
        <v>1</v>
      </c>
      <c r="CC210" s="4">
        <v>7070</v>
      </c>
      <c r="CD210" s="4" t="s">
        <v>1</v>
      </c>
      <c r="CE210" s="4" t="s">
        <v>1</v>
      </c>
      <c r="CF210" s="5" t="s">
        <v>793</v>
      </c>
      <c r="CG210">
        <v>100</v>
      </c>
      <c r="CH210" t="s">
        <v>1</v>
      </c>
      <c r="CI210" s="28" t="s">
        <v>1</v>
      </c>
      <c r="CJ210" s="10" t="s">
        <v>1</v>
      </c>
      <c r="CK210" s="9" t="s">
        <v>1</v>
      </c>
      <c r="CL210" s="4" t="s">
        <v>1</v>
      </c>
      <c r="CM210" s="4" t="s">
        <v>1</v>
      </c>
      <c r="CN210" s="4" t="s">
        <v>1</v>
      </c>
      <c r="CO210" s="4" t="s">
        <v>1</v>
      </c>
      <c r="CP210" s="4" t="s">
        <v>1</v>
      </c>
      <c r="CQ210" s="4" t="s">
        <v>1</v>
      </c>
      <c r="CR210" s="4" t="s">
        <v>1</v>
      </c>
      <c r="CS210" s="4" t="s">
        <v>1</v>
      </c>
      <c r="CT210" s="4" t="s">
        <v>1</v>
      </c>
      <c r="CU210" s="4" t="s">
        <v>1</v>
      </c>
      <c r="CV210" t="s">
        <v>855</v>
      </c>
      <c r="CW210">
        <v>100</v>
      </c>
      <c r="CX210">
        <v>0</v>
      </c>
      <c r="CY210">
        <v>30</v>
      </c>
      <c r="CZ210" t="s">
        <v>1358</v>
      </c>
      <c r="DA210" t="s">
        <v>734</v>
      </c>
      <c r="DB210">
        <v>64</v>
      </c>
      <c r="DC210">
        <v>0</v>
      </c>
      <c r="DD210">
        <v>30</v>
      </c>
      <c r="DE210" t="s">
        <v>1358</v>
      </c>
      <c r="DF210" t="s">
        <v>735</v>
      </c>
      <c r="DG210">
        <v>22</v>
      </c>
      <c r="DH210">
        <v>0</v>
      </c>
      <c r="DI210">
        <v>30</v>
      </c>
      <c r="DJ210" t="s">
        <v>1358</v>
      </c>
      <c r="DK210" t="s">
        <v>736</v>
      </c>
      <c r="DL210">
        <v>14</v>
      </c>
      <c r="DM210">
        <v>0</v>
      </c>
      <c r="DN210">
        <v>30</v>
      </c>
      <c r="DO210" t="s">
        <v>1358</v>
      </c>
      <c r="DP210" t="s">
        <v>6</v>
      </c>
      <c r="DQ210" t="s">
        <v>813</v>
      </c>
      <c r="DR210">
        <v>6.4</v>
      </c>
      <c r="DS210">
        <v>0</v>
      </c>
      <c r="DT210">
        <v>30</v>
      </c>
      <c r="DU210" t="s">
        <v>1358</v>
      </c>
      <c r="DV210" t="s">
        <v>980</v>
      </c>
      <c r="DW210">
        <v>28</v>
      </c>
      <c r="DX210">
        <v>0</v>
      </c>
      <c r="DY210">
        <v>30</v>
      </c>
      <c r="DZ210" t="s">
        <v>1358</v>
      </c>
      <c r="EA210" t="s">
        <v>982</v>
      </c>
      <c r="EB210">
        <v>16</v>
      </c>
      <c r="EC210">
        <v>0</v>
      </c>
      <c r="ED210">
        <v>30</v>
      </c>
      <c r="EE210" t="s">
        <v>1358</v>
      </c>
      <c r="EG210" t="s">
        <v>981</v>
      </c>
      <c r="EH210">
        <f t="shared" si="21"/>
        <v>1.4</v>
      </c>
      <c r="EI210">
        <v>0</v>
      </c>
      <c r="EJ210">
        <v>30</v>
      </c>
      <c r="EK210" t="s">
        <v>1358</v>
      </c>
      <c r="EL210" t="s">
        <v>734</v>
      </c>
      <c r="EM210">
        <v>71</v>
      </c>
      <c r="EN210">
        <v>30</v>
      </c>
      <c r="EO210">
        <v>60</v>
      </c>
      <c r="EP210" t="s">
        <v>1358</v>
      </c>
      <c r="EQ210" t="s">
        <v>735</v>
      </c>
      <c r="ER210">
        <v>17</v>
      </c>
      <c r="ES210">
        <v>30</v>
      </c>
      <c r="ET210">
        <v>60</v>
      </c>
      <c r="EU210" t="s">
        <v>1358</v>
      </c>
      <c r="EV210" t="s">
        <v>736</v>
      </c>
      <c r="EW210">
        <v>12</v>
      </c>
      <c r="EX210">
        <v>30</v>
      </c>
      <c r="EY210">
        <v>60</v>
      </c>
      <c r="EZ210" t="s">
        <v>1358</v>
      </c>
      <c r="FA210" t="s">
        <v>980</v>
      </c>
      <c r="FB210">
        <v>25</v>
      </c>
      <c r="FC210">
        <v>30</v>
      </c>
      <c r="FD210">
        <v>60</v>
      </c>
      <c r="FE210" t="s">
        <v>1358</v>
      </c>
      <c r="FF210" t="s">
        <v>734</v>
      </c>
      <c r="FG210">
        <f t="shared" si="22"/>
        <v>67.34</v>
      </c>
      <c r="FH210">
        <v>60</v>
      </c>
      <c r="FI210">
        <v>90</v>
      </c>
      <c r="FJ210" t="s">
        <v>1358</v>
      </c>
      <c r="FK210" t="s">
        <v>735</v>
      </c>
      <c r="FL210">
        <f t="shared" si="23"/>
        <v>20.100000000000001</v>
      </c>
      <c r="FM210">
        <v>60</v>
      </c>
      <c r="FN210">
        <v>90</v>
      </c>
      <c r="FO210" t="s">
        <v>1358</v>
      </c>
      <c r="FP210" t="s">
        <v>736</v>
      </c>
      <c r="FQ210">
        <f t="shared" si="24"/>
        <v>12.56</v>
      </c>
      <c r="FR210">
        <v>60</v>
      </c>
      <c r="FS210">
        <v>90</v>
      </c>
      <c r="FT210" t="s">
        <v>1358</v>
      </c>
      <c r="FU210" t="s">
        <v>980</v>
      </c>
      <c r="FV210">
        <v>25</v>
      </c>
      <c r="FW210">
        <v>60</v>
      </c>
      <c r="FX210">
        <v>90</v>
      </c>
      <c r="FY210" t="s">
        <v>1358</v>
      </c>
      <c r="FZ210" t="s">
        <v>957</v>
      </c>
      <c r="GA210" t="s">
        <v>958</v>
      </c>
      <c r="GB210" t="s">
        <v>959</v>
      </c>
      <c r="GC210" t="s">
        <v>1</v>
      </c>
      <c r="GD210" t="s">
        <v>1</v>
      </c>
      <c r="GE210" s="26" t="s">
        <v>1358</v>
      </c>
      <c r="GF210" t="s">
        <v>957</v>
      </c>
      <c r="GG210" t="s">
        <v>961</v>
      </c>
      <c r="GH210" t="s">
        <v>960</v>
      </c>
      <c r="GI210" s="20">
        <v>1961</v>
      </c>
      <c r="GJ210" s="20">
        <v>1990</v>
      </c>
      <c r="GK210" s="26" t="s">
        <v>1358</v>
      </c>
      <c r="GL210" t="s">
        <v>953</v>
      </c>
      <c r="GM210" t="s">
        <v>955</v>
      </c>
      <c r="GN210" t="s">
        <v>954</v>
      </c>
      <c r="GO210" s="5" t="s">
        <v>956</v>
      </c>
      <c r="GP210" s="5" t="s">
        <v>1382</v>
      </c>
      <c r="GQ210" s="5" t="s">
        <v>962</v>
      </c>
      <c r="GR210" s="5" t="s">
        <v>963</v>
      </c>
      <c r="GS210" s="5" t="s">
        <v>959</v>
      </c>
      <c r="GT210" s="26" t="s">
        <v>1358</v>
      </c>
      <c r="GU210" s="5" t="s">
        <v>962</v>
      </c>
      <c r="GV210" s="5" t="s">
        <v>964</v>
      </c>
      <c r="GW210" s="5" t="s">
        <v>960</v>
      </c>
      <c r="GX210" s="20">
        <v>1961</v>
      </c>
      <c r="GY210" s="20">
        <v>1990</v>
      </c>
      <c r="GZ210" s="26" t="s">
        <v>1358</v>
      </c>
      <c r="HA210" s="5" t="s">
        <v>1</v>
      </c>
      <c r="HB210" s="5" t="s">
        <v>1</v>
      </c>
      <c r="HC210" s="5" t="s">
        <v>1</v>
      </c>
      <c r="HD210" s="5" t="s">
        <v>1</v>
      </c>
      <c r="HE210" t="s">
        <v>1</v>
      </c>
      <c r="HF210" s="5" t="s">
        <v>1</v>
      </c>
      <c r="HG210" s="5" t="s">
        <v>1</v>
      </c>
      <c r="HH210" s="5" t="s">
        <v>1</v>
      </c>
      <c r="HI210" s="5" t="s">
        <v>1</v>
      </c>
      <c r="HJ210" t="s">
        <v>1</v>
      </c>
      <c r="HK210" t="s">
        <v>1</v>
      </c>
      <c r="HL210" t="s">
        <v>1</v>
      </c>
      <c r="HM210" t="s">
        <v>1</v>
      </c>
      <c r="HN210" t="s">
        <v>1</v>
      </c>
      <c r="HO210" t="s">
        <v>1</v>
      </c>
      <c r="HP210" t="s">
        <v>1</v>
      </c>
      <c r="HQ210" t="s">
        <v>983</v>
      </c>
      <c r="HR210" t="s">
        <v>1044</v>
      </c>
      <c r="HS210" s="5" t="s">
        <v>1049</v>
      </c>
      <c r="HT210" s="28" t="s">
        <v>1425</v>
      </c>
      <c r="HU210" s="5" t="s">
        <v>842</v>
      </c>
      <c r="HV210" s="5" t="s">
        <v>1358</v>
      </c>
      <c r="HW210" t="s">
        <v>937</v>
      </c>
      <c r="HX210" s="3" t="s">
        <v>1</v>
      </c>
      <c r="HY210" s="30">
        <v>38978</v>
      </c>
      <c r="HZ210" t="s">
        <v>1295</v>
      </c>
      <c r="IA210">
        <v>100</v>
      </c>
      <c r="IB210" s="10" t="s">
        <v>1</v>
      </c>
      <c r="IC210" s="10">
        <v>15</v>
      </c>
      <c r="ID210" s="10" t="s">
        <v>984</v>
      </c>
      <c r="IE210" s="10" t="s">
        <v>1</v>
      </c>
      <c r="IF210" s="10" t="s">
        <v>1</v>
      </c>
      <c r="IG210" t="s">
        <v>1</v>
      </c>
      <c r="IH210" s="10" t="s">
        <v>1</v>
      </c>
      <c r="II210" s="10" t="s">
        <v>1</v>
      </c>
      <c r="IJ210" s="10" t="s">
        <v>1</v>
      </c>
      <c r="IK210" t="s">
        <v>1</v>
      </c>
      <c r="IL210" s="10" t="s">
        <v>1</v>
      </c>
      <c r="IM210" s="10" t="s">
        <v>1</v>
      </c>
      <c r="IN210" s="10" t="s">
        <v>1</v>
      </c>
      <c r="IO210" s="10" t="s">
        <v>1</v>
      </c>
      <c r="IP210" s="10" t="s">
        <v>1</v>
      </c>
      <c r="IQ210" s="10" t="s">
        <v>1</v>
      </c>
      <c r="IR210" s="10" t="s">
        <v>1</v>
      </c>
      <c r="IS210" t="s">
        <v>1</v>
      </c>
      <c r="IT210" t="s">
        <v>1</v>
      </c>
      <c r="IW210" t="s">
        <v>1</v>
      </c>
      <c r="IX210" t="s">
        <v>1</v>
      </c>
      <c r="IY210" t="s">
        <v>1</v>
      </c>
      <c r="IZ210" t="s">
        <v>1</v>
      </c>
      <c r="JA210" t="s">
        <v>1</v>
      </c>
      <c r="JB210" s="3" t="s">
        <v>1</v>
      </c>
      <c r="JC210" t="s">
        <v>1</v>
      </c>
      <c r="JD210" s="4" t="s">
        <v>1</v>
      </c>
      <c r="JE210" t="s">
        <v>810</v>
      </c>
      <c r="JF210">
        <v>100</v>
      </c>
      <c r="JG210" t="s">
        <v>859</v>
      </c>
      <c r="JH210" t="s">
        <v>1393</v>
      </c>
      <c r="JI210" t="s">
        <v>947</v>
      </c>
      <c r="JJ210" t="s">
        <v>1</v>
      </c>
      <c r="JK210" s="33" t="s">
        <v>1053</v>
      </c>
      <c r="JL210" t="s">
        <v>1</v>
      </c>
      <c r="JM210" t="s">
        <v>1</v>
      </c>
      <c r="JN210" t="s">
        <v>1050</v>
      </c>
      <c r="JO210" s="30">
        <v>38978</v>
      </c>
      <c r="JP210" t="s">
        <v>1051</v>
      </c>
      <c r="JQ210" s="32" t="s">
        <v>1060</v>
      </c>
      <c r="JR210" t="s">
        <v>1066</v>
      </c>
      <c r="JS210" t="s">
        <v>1019</v>
      </c>
      <c r="JT210" t="s">
        <v>1014</v>
      </c>
      <c r="JU210" t="s">
        <v>1</v>
      </c>
      <c r="JV210" t="s">
        <v>1424</v>
      </c>
      <c r="JW210" t="s">
        <v>842</v>
      </c>
      <c r="JX210">
        <v>0</v>
      </c>
      <c r="JY210">
        <v>80</v>
      </c>
      <c r="JZ210" t="s">
        <v>800</v>
      </c>
      <c r="KA210" t="s">
        <v>206</v>
      </c>
      <c r="KB210" t="s">
        <v>738</v>
      </c>
      <c r="KC210" t="s">
        <v>1</v>
      </c>
      <c r="KD210" t="s">
        <v>1</v>
      </c>
      <c r="KE210" t="s">
        <v>1</v>
      </c>
      <c r="KF210" t="s">
        <v>1</v>
      </c>
      <c r="KG210" t="s">
        <v>1</v>
      </c>
      <c r="KH210" t="s">
        <v>1</v>
      </c>
      <c r="KI210" t="s">
        <v>1</v>
      </c>
      <c r="KJ210" t="s">
        <v>1</v>
      </c>
      <c r="KK210" t="s">
        <v>1</v>
      </c>
    </row>
    <row r="211" spans="1:297" x14ac:dyDescent="0.2">
      <c r="A211" s="3" t="s">
        <v>910</v>
      </c>
      <c r="B211" t="s">
        <v>705</v>
      </c>
      <c r="C211" t="s">
        <v>928</v>
      </c>
      <c r="D211" t="s">
        <v>690</v>
      </c>
      <c r="E211">
        <v>29</v>
      </c>
      <c r="F211" t="s">
        <v>213</v>
      </c>
      <c r="G211" t="s">
        <v>1</v>
      </c>
      <c r="H211" s="26" t="s">
        <v>1420</v>
      </c>
      <c r="I211" t="s">
        <v>1</v>
      </c>
      <c r="J211" t="s">
        <v>1</v>
      </c>
      <c r="K211" t="s">
        <v>1</v>
      </c>
      <c r="L211" t="s">
        <v>1</v>
      </c>
      <c r="M211" t="s">
        <v>1</v>
      </c>
      <c r="N211" t="s">
        <v>1</v>
      </c>
      <c r="O211" t="s">
        <v>1</v>
      </c>
      <c r="P211" t="s">
        <v>1</v>
      </c>
      <c r="Q211" t="s">
        <v>1</v>
      </c>
      <c r="R211" t="s">
        <v>1</v>
      </c>
      <c r="S211" t="s">
        <v>1</v>
      </c>
      <c r="T211" t="s">
        <v>1</v>
      </c>
      <c r="U211" t="s">
        <v>1</v>
      </c>
      <c r="V211" t="s">
        <v>1</v>
      </c>
      <c r="W211" t="s">
        <v>1</v>
      </c>
      <c r="X211" t="s">
        <v>1</v>
      </c>
      <c r="Y211" t="s">
        <v>1</v>
      </c>
      <c r="Z211" t="s">
        <v>1</v>
      </c>
      <c r="AA211" t="s">
        <v>1</v>
      </c>
      <c r="AB211" t="s">
        <v>1</v>
      </c>
      <c r="AC211" t="s">
        <v>1</v>
      </c>
      <c r="AD211" t="s">
        <v>1</v>
      </c>
      <c r="AE211" t="s">
        <v>1</v>
      </c>
      <c r="AF211" t="s">
        <v>1</v>
      </c>
      <c r="AG211" t="s">
        <v>1</v>
      </c>
      <c r="AH211" t="s">
        <v>1</v>
      </c>
      <c r="AI211" t="s">
        <v>1</v>
      </c>
      <c r="AJ211" t="s">
        <v>1</v>
      </c>
      <c r="AK211" t="s">
        <v>1</v>
      </c>
      <c r="AL211" t="s">
        <v>1</v>
      </c>
      <c r="AM211" t="s">
        <v>1</v>
      </c>
      <c r="AN211" s="3" t="s">
        <v>910</v>
      </c>
      <c r="AO211" t="str">
        <f t="shared" si="25"/>
        <v>180-33</v>
      </c>
      <c r="AP211">
        <f t="shared" si="26"/>
        <v>29</v>
      </c>
      <c r="AQ211">
        <f t="shared" si="27"/>
        <v>29</v>
      </c>
      <c r="AR211" t="s">
        <v>1355</v>
      </c>
      <c r="AS211" t="s">
        <v>1356</v>
      </c>
      <c r="AT211" t="s">
        <v>714</v>
      </c>
      <c r="AU211" t="s">
        <v>1</v>
      </c>
      <c r="AV211" t="s">
        <v>1</v>
      </c>
      <c r="AW211">
        <v>58.37</v>
      </c>
      <c r="AX211">
        <v>13.48</v>
      </c>
      <c r="AY211" t="s">
        <v>737</v>
      </c>
      <c r="AZ211">
        <f t="shared" si="19"/>
        <v>5.3999999999999999E-2</v>
      </c>
      <c r="BA211" s="3">
        <f t="shared" si="20"/>
        <v>6</v>
      </c>
      <c r="BB211" s="10" t="s">
        <v>1355</v>
      </c>
      <c r="BC211" t="s">
        <v>1461</v>
      </c>
      <c r="BD211" s="30">
        <v>38933</v>
      </c>
      <c r="BE211" s="3" t="s">
        <v>933</v>
      </c>
      <c r="BF211" s="30">
        <v>39293</v>
      </c>
      <c r="BG211" s="19" t="s">
        <v>934</v>
      </c>
      <c r="BH211" s="19" t="s">
        <v>934</v>
      </c>
      <c r="BI211" s="19" t="s">
        <v>945</v>
      </c>
      <c r="BJ211" s="19" t="s">
        <v>934</v>
      </c>
      <c r="BK211" s="19" t="s">
        <v>945</v>
      </c>
      <c r="BL211" s="19" t="s">
        <v>945</v>
      </c>
      <c r="BM211" s="19" t="s">
        <v>945</v>
      </c>
      <c r="BN211" s="19" t="s">
        <v>934</v>
      </c>
      <c r="BO211" s="19" t="s">
        <v>945</v>
      </c>
      <c r="BP211" s="19" t="s">
        <v>945</v>
      </c>
      <c r="BQ211" s="24" t="s">
        <v>945</v>
      </c>
      <c r="BR211" s="24" t="s">
        <v>945</v>
      </c>
      <c r="BS211" s="24" t="s">
        <v>934</v>
      </c>
      <c r="BT211" s="24" t="s">
        <v>934</v>
      </c>
      <c r="BU211" s="24" t="s">
        <v>934</v>
      </c>
      <c r="BV211" s="24" t="s">
        <v>934</v>
      </c>
      <c r="BW211" s="24" t="s">
        <v>934</v>
      </c>
      <c r="BX211" s="24" t="s">
        <v>934</v>
      </c>
      <c r="BY211" s="25" t="s">
        <v>945</v>
      </c>
      <c r="BZ211" t="s">
        <v>62</v>
      </c>
      <c r="CA211" s="20" t="s">
        <v>950</v>
      </c>
      <c r="CB211" t="s">
        <v>1</v>
      </c>
      <c r="CC211" s="4">
        <v>6730</v>
      </c>
      <c r="CD211" s="4" t="s">
        <v>1</v>
      </c>
      <c r="CE211" s="4" t="s">
        <v>1</v>
      </c>
      <c r="CF211" s="5" t="s">
        <v>793</v>
      </c>
      <c r="CG211">
        <v>100</v>
      </c>
      <c r="CH211" t="s">
        <v>1</v>
      </c>
      <c r="CI211" s="28" t="s">
        <v>1</v>
      </c>
      <c r="CJ211" s="10" t="s">
        <v>1</v>
      </c>
      <c r="CK211" s="9" t="s">
        <v>1</v>
      </c>
      <c r="CL211" s="4" t="s">
        <v>1</v>
      </c>
      <c r="CM211" s="4" t="s">
        <v>1</v>
      </c>
      <c r="CN211" s="4" t="s">
        <v>1</v>
      </c>
      <c r="CO211" s="4" t="s">
        <v>1</v>
      </c>
      <c r="CP211" s="4" t="s">
        <v>1</v>
      </c>
      <c r="CQ211" s="4" t="s">
        <v>1</v>
      </c>
      <c r="CR211" s="4" t="s">
        <v>1</v>
      </c>
      <c r="CS211" s="4" t="s">
        <v>1</v>
      </c>
      <c r="CT211" s="4" t="s">
        <v>1</v>
      </c>
      <c r="CU211" s="4" t="s">
        <v>1</v>
      </c>
      <c r="CV211" t="s">
        <v>855</v>
      </c>
      <c r="CW211">
        <v>100</v>
      </c>
      <c r="CX211">
        <v>0</v>
      </c>
      <c r="CY211">
        <v>30</v>
      </c>
      <c r="CZ211" t="s">
        <v>1358</v>
      </c>
      <c r="DA211" t="s">
        <v>734</v>
      </c>
      <c r="DB211">
        <v>64</v>
      </c>
      <c r="DC211">
        <v>0</v>
      </c>
      <c r="DD211">
        <v>30</v>
      </c>
      <c r="DE211" t="s">
        <v>1358</v>
      </c>
      <c r="DF211" t="s">
        <v>735</v>
      </c>
      <c r="DG211">
        <v>22</v>
      </c>
      <c r="DH211">
        <v>0</v>
      </c>
      <c r="DI211">
        <v>30</v>
      </c>
      <c r="DJ211" t="s">
        <v>1358</v>
      </c>
      <c r="DK211" t="s">
        <v>736</v>
      </c>
      <c r="DL211">
        <v>14</v>
      </c>
      <c r="DM211">
        <v>0</v>
      </c>
      <c r="DN211">
        <v>30</v>
      </c>
      <c r="DO211" t="s">
        <v>1358</v>
      </c>
      <c r="DP211" t="s">
        <v>6</v>
      </c>
      <c r="DQ211" t="s">
        <v>813</v>
      </c>
      <c r="DR211">
        <v>6.4</v>
      </c>
      <c r="DS211">
        <v>0</v>
      </c>
      <c r="DT211">
        <v>30</v>
      </c>
      <c r="DU211" t="s">
        <v>1358</v>
      </c>
      <c r="DV211" t="s">
        <v>980</v>
      </c>
      <c r="DW211">
        <v>28</v>
      </c>
      <c r="DX211">
        <v>0</v>
      </c>
      <c r="DY211">
        <v>30</v>
      </c>
      <c r="DZ211" t="s">
        <v>1358</v>
      </c>
      <c r="EA211" t="s">
        <v>982</v>
      </c>
      <c r="EB211">
        <v>16</v>
      </c>
      <c r="EC211">
        <v>0</v>
      </c>
      <c r="ED211">
        <v>30</v>
      </c>
      <c r="EE211" t="s">
        <v>1358</v>
      </c>
      <c r="EG211" t="s">
        <v>981</v>
      </c>
      <c r="EH211">
        <f t="shared" si="21"/>
        <v>1.4</v>
      </c>
      <c r="EI211">
        <v>0</v>
      </c>
      <c r="EJ211">
        <v>30</v>
      </c>
      <c r="EK211" t="s">
        <v>1358</v>
      </c>
      <c r="EL211" t="s">
        <v>734</v>
      </c>
      <c r="EM211">
        <v>71</v>
      </c>
      <c r="EN211">
        <v>30</v>
      </c>
      <c r="EO211">
        <v>60</v>
      </c>
      <c r="EP211" t="s">
        <v>1358</v>
      </c>
      <c r="EQ211" t="s">
        <v>735</v>
      </c>
      <c r="ER211">
        <v>17</v>
      </c>
      <c r="ES211">
        <v>30</v>
      </c>
      <c r="ET211">
        <v>60</v>
      </c>
      <c r="EU211" t="s">
        <v>1358</v>
      </c>
      <c r="EV211" t="s">
        <v>736</v>
      </c>
      <c r="EW211">
        <v>12</v>
      </c>
      <c r="EX211">
        <v>30</v>
      </c>
      <c r="EY211">
        <v>60</v>
      </c>
      <c r="EZ211" t="s">
        <v>1358</v>
      </c>
      <c r="FA211" t="s">
        <v>980</v>
      </c>
      <c r="FB211">
        <v>25</v>
      </c>
      <c r="FC211">
        <v>30</v>
      </c>
      <c r="FD211">
        <v>60</v>
      </c>
      <c r="FE211" t="s">
        <v>1358</v>
      </c>
      <c r="FF211" t="s">
        <v>734</v>
      </c>
      <c r="FG211">
        <f t="shared" si="22"/>
        <v>67.34</v>
      </c>
      <c r="FH211">
        <v>60</v>
      </c>
      <c r="FI211">
        <v>90</v>
      </c>
      <c r="FJ211" t="s">
        <v>1358</v>
      </c>
      <c r="FK211" t="s">
        <v>735</v>
      </c>
      <c r="FL211">
        <f t="shared" si="23"/>
        <v>20.100000000000001</v>
      </c>
      <c r="FM211">
        <v>60</v>
      </c>
      <c r="FN211">
        <v>90</v>
      </c>
      <c r="FO211" t="s">
        <v>1358</v>
      </c>
      <c r="FP211" t="s">
        <v>736</v>
      </c>
      <c r="FQ211">
        <f t="shared" si="24"/>
        <v>12.56</v>
      </c>
      <c r="FR211">
        <v>60</v>
      </c>
      <c r="FS211">
        <v>90</v>
      </c>
      <c r="FT211" t="s">
        <v>1358</v>
      </c>
      <c r="FU211" t="s">
        <v>980</v>
      </c>
      <c r="FV211">
        <v>25</v>
      </c>
      <c r="FW211">
        <v>60</v>
      </c>
      <c r="FX211">
        <v>90</v>
      </c>
      <c r="FY211" t="s">
        <v>1358</v>
      </c>
      <c r="FZ211" t="s">
        <v>957</v>
      </c>
      <c r="GA211" t="s">
        <v>958</v>
      </c>
      <c r="GB211" t="s">
        <v>959</v>
      </c>
      <c r="GC211" t="s">
        <v>1</v>
      </c>
      <c r="GD211" t="s">
        <v>1</v>
      </c>
      <c r="GE211" s="26" t="s">
        <v>1358</v>
      </c>
      <c r="GF211" t="s">
        <v>957</v>
      </c>
      <c r="GG211" t="s">
        <v>961</v>
      </c>
      <c r="GH211" t="s">
        <v>960</v>
      </c>
      <c r="GI211" s="20">
        <v>1961</v>
      </c>
      <c r="GJ211" s="20">
        <v>1990</v>
      </c>
      <c r="GK211" s="26" t="s">
        <v>1358</v>
      </c>
      <c r="GL211" t="s">
        <v>953</v>
      </c>
      <c r="GM211" t="s">
        <v>955</v>
      </c>
      <c r="GN211" t="s">
        <v>954</v>
      </c>
      <c r="GO211" s="5" t="s">
        <v>956</v>
      </c>
      <c r="GP211" s="5" t="s">
        <v>1382</v>
      </c>
      <c r="GQ211" s="5" t="s">
        <v>962</v>
      </c>
      <c r="GR211" s="5" t="s">
        <v>963</v>
      </c>
      <c r="GS211" s="5" t="s">
        <v>959</v>
      </c>
      <c r="GT211" s="26" t="s">
        <v>1358</v>
      </c>
      <c r="GU211" s="5" t="s">
        <v>962</v>
      </c>
      <c r="GV211" s="5" t="s">
        <v>964</v>
      </c>
      <c r="GW211" s="5" t="s">
        <v>960</v>
      </c>
      <c r="GX211" s="20">
        <v>1961</v>
      </c>
      <c r="GY211" s="20">
        <v>1990</v>
      </c>
      <c r="GZ211" s="26" t="s">
        <v>1358</v>
      </c>
      <c r="HA211" s="5" t="s">
        <v>1</v>
      </c>
      <c r="HB211" s="5" t="s">
        <v>1</v>
      </c>
      <c r="HC211" s="5" t="s">
        <v>1</v>
      </c>
      <c r="HD211" s="5" t="s">
        <v>1</v>
      </c>
      <c r="HE211" t="s">
        <v>1</v>
      </c>
      <c r="HF211" s="5" t="s">
        <v>1</v>
      </c>
      <c r="HG211" s="5" t="s">
        <v>1</v>
      </c>
      <c r="HH211" s="5" t="s">
        <v>1</v>
      </c>
      <c r="HI211" s="5" t="s">
        <v>1</v>
      </c>
      <c r="HJ211" t="s">
        <v>1</v>
      </c>
      <c r="HK211" t="s">
        <v>1</v>
      </c>
      <c r="HL211" t="s">
        <v>1</v>
      </c>
      <c r="HM211" t="s">
        <v>1</v>
      </c>
      <c r="HN211" t="s">
        <v>1</v>
      </c>
      <c r="HO211" t="s">
        <v>1</v>
      </c>
      <c r="HP211" t="s">
        <v>1</v>
      </c>
      <c r="HQ211" t="s">
        <v>983</v>
      </c>
      <c r="HR211" t="s">
        <v>1045</v>
      </c>
      <c r="HS211" s="5" t="s">
        <v>1049</v>
      </c>
      <c r="HT211" s="28" t="s">
        <v>1425</v>
      </c>
      <c r="HU211" s="5" t="s">
        <v>842</v>
      </c>
      <c r="HV211" s="5" t="s">
        <v>1358</v>
      </c>
      <c r="HW211" t="s">
        <v>937</v>
      </c>
      <c r="HX211" s="3" t="s">
        <v>1</v>
      </c>
      <c r="HY211" s="30">
        <v>38978</v>
      </c>
      <c r="HZ211" t="s">
        <v>1295</v>
      </c>
      <c r="IA211">
        <v>100</v>
      </c>
      <c r="IB211" s="10" t="s">
        <v>1</v>
      </c>
      <c r="IC211" s="10">
        <v>15</v>
      </c>
      <c r="ID211" s="10" t="s">
        <v>984</v>
      </c>
      <c r="IE211" s="10" t="s">
        <v>1</v>
      </c>
      <c r="IF211" s="10" t="s">
        <v>1</v>
      </c>
      <c r="IG211" t="s">
        <v>1</v>
      </c>
      <c r="IH211" s="10" t="s">
        <v>1</v>
      </c>
      <c r="II211" s="10" t="s">
        <v>1</v>
      </c>
      <c r="IJ211" s="10" t="s">
        <v>1</v>
      </c>
      <c r="IK211" t="s">
        <v>1</v>
      </c>
      <c r="IL211" s="10" t="s">
        <v>1</v>
      </c>
      <c r="IM211" s="10" t="s">
        <v>1</v>
      </c>
      <c r="IN211" s="10" t="s">
        <v>1</v>
      </c>
      <c r="IO211" s="10" t="s">
        <v>1</v>
      </c>
      <c r="IP211" s="10" t="s">
        <v>1</v>
      </c>
      <c r="IQ211" s="10" t="s">
        <v>1</v>
      </c>
      <c r="IR211" s="10" t="s">
        <v>1</v>
      </c>
      <c r="IS211" t="s">
        <v>1</v>
      </c>
      <c r="IT211" t="s">
        <v>1</v>
      </c>
      <c r="IW211" t="s">
        <v>1</v>
      </c>
      <c r="IX211" t="s">
        <v>1</v>
      </c>
      <c r="IY211" t="s">
        <v>1</v>
      </c>
      <c r="IZ211" t="s">
        <v>1</v>
      </c>
      <c r="JA211" t="s">
        <v>1</v>
      </c>
      <c r="JB211" s="3" t="s">
        <v>1</v>
      </c>
      <c r="JC211" t="s">
        <v>1</v>
      </c>
      <c r="JD211" s="4" t="s">
        <v>1</v>
      </c>
      <c r="JE211" t="s">
        <v>810</v>
      </c>
      <c r="JF211">
        <v>100</v>
      </c>
      <c r="JG211" t="s">
        <v>859</v>
      </c>
      <c r="JH211" t="s">
        <v>1393</v>
      </c>
      <c r="JI211" t="s">
        <v>947</v>
      </c>
      <c r="JJ211" t="s">
        <v>1</v>
      </c>
      <c r="JK211" s="33" t="s">
        <v>1053</v>
      </c>
      <c r="JL211" t="s">
        <v>1</v>
      </c>
      <c r="JM211" t="s">
        <v>1</v>
      </c>
      <c r="JN211" t="s">
        <v>1050</v>
      </c>
      <c r="JO211" s="30">
        <v>38978</v>
      </c>
      <c r="JP211" t="s">
        <v>1051</v>
      </c>
      <c r="JQ211" s="32" t="s">
        <v>1060</v>
      </c>
      <c r="JR211" t="s">
        <v>1066</v>
      </c>
      <c r="JS211" t="s">
        <v>1020</v>
      </c>
      <c r="JT211" t="s">
        <v>1014</v>
      </c>
      <c r="JU211" t="s">
        <v>1</v>
      </c>
      <c r="JV211" t="s">
        <v>1424</v>
      </c>
      <c r="JW211" t="s">
        <v>842</v>
      </c>
      <c r="JX211">
        <v>0</v>
      </c>
      <c r="JY211">
        <v>80</v>
      </c>
      <c r="JZ211" t="s">
        <v>800</v>
      </c>
      <c r="KA211" t="s">
        <v>206</v>
      </c>
      <c r="KB211" t="s">
        <v>738</v>
      </c>
      <c r="KC211" t="s">
        <v>1</v>
      </c>
      <c r="KD211" t="s">
        <v>1</v>
      </c>
      <c r="KE211" t="s">
        <v>1</v>
      </c>
      <c r="KF211" t="s">
        <v>1</v>
      </c>
      <c r="KG211" t="s">
        <v>1</v>
      </c>
      <c r="KH211" t="s">
        <v>1</v>
      </c>
      <c r="KI211" t="s">
        <v>1</v>
      </c>
      <c r="KJ211" t="s">
        <v>1</v>
      </c>
      <c r="KK211" t="s">
        <v>1</v>
      </c>
    </row>
    <row r="212" spans="1:297" x14ac:dyDescent="0.2">
      <c r="A212" s="3" t="s">
        <v>911</v>
      </c>
      <c r="B212" t="s">
        <v>705</v>
      </c>
      <c r="C212" t="s">
        <v>929</v>
      </c>
      <c r="D212" t="s">
        <v>690</v>
      </c>
      <c r="E212">
        <v>29</v>
      </c>
      <c r="F212" t="s">
        <v>213</v>
      </c>
      <c r="G212" t="s">
        <v>1</v>
      </c>
      <c r="H212" s="26" t="s">
        <v>1420</v>
      </c>
      <c r="I212" t="s">
        <v>1</v>
      </c>
      <c r="J212" t="s">
        <v>1</v>
      </c>
      <c r="K212" t="s">
        <v>1</v>
      </c>
      <c r="L212" t="s">
        <v>1</v>
      </c>
      <c r="M212" t="s">
        <v>1</v>
      </c>
      <c r="N212" t="s">
        <v>1</v>
      </c>
      <c r="O212" t="s">
        <v>1</v>
      </c>
      <c r="P212" t="s">
        <v>1</v>
      </c>
      <c r="Q212" t="s">
        <v>1</v>
      </c>
      <c r="R212" t="s">
        <v>1</v>
      </c>
      <c r="S212" t="s">
        <v>1</v>
      </c>
      <c r="T212" t="s">
        <v>1</v>
      </c>
      <c r="U212" t="s">
        <v>1</v>
      </c>
      <c r="V212" t="s">
        <v>1</v>
      </c>
      <c r="W212" t="s">
        <v>1</v>
      </c>
      <c r="X212" t="s">
        <v>1</v>
      </c>
      <c r="Y212" t="s">
        <v>1</v>
      </c>
      <c r="Z212" t="s">
        <v>1</v>
      </c>
      <c r="AA212" t="s">
        <v>1</v>
      </c>
      <c r="AB212" t="s">
        <v>1</v>
      </c>
      <c r="AC212" t="s">
        <v>1</v>
      </c>
      <c r="AD212" t="s">
        <v>1</v>
      </c>
      <c r="AE212" t="s">
        <v>1</v>
      </c>
      <c r="AF212" t="s">
        <v>1</v>
      </c>
      <c r="AG212" t="s">
        <v>1</v>
      </c>
      <c r="AH212" t="s">
        <v>1</v>
      </c>
      <c r="AI212" t="s">
        <v>1</v>
      </c>
      <c r="AJ212" t="s">
        <v>1</v>
      </c>
      <c r="AK212" t="s">
        <v>1</v>
      </c>
      <c r="AL212" t="s">
        <v>1</v>
      </c>
      <c r="AM212" t="s">
        <v>1</v>
      </c>
      <c r="AN212" s="3" t="s">
        <v>911</v>
      </c>
      <c r="AO212" t="str">
        <f t="shared" si="25"/>
        <v>180-34</v>
      </c>
      <c r="AP212">
        <f t="shared" si="26"/>
        <v>29</v>
      </c>
      <c r="AQ212">
        <f t="shared" si="27"/>
        <v>29</v>
      </c>
      <c r="AR212" t="s">
        <v>1355</v>
      </c>
      <c r="AS212" t="s">
        <v>1356</v>
      </c>
      <c r="AT212" t="s">
        <v>714</v>
      </c>
      <c r="AU212" t="s">
        <v>1</v>
      </c>
      <c r="AV212" t="s">
        <v>1</v>
      </c>
      <c r="AW212">
        <v>58.37</v>
      </c>
      <c r="AX212">
        <v>13.48</v>
      </c>
      <c r="AY212" t="s">
        <v>737</v>
      </c>
      <c r="AZ212">
        <f t="shared" si="19"/>
        <v>5.3999999999999999E-2</v>
      </c>
      <c r="BA212" s="3">
        <f t="shared" si="20"/>
        <v>6</v>
      </c>
      <c r="BB212" s="10" t="s">
        <v>1355</v>
      </c>
      <c r="BC212" t="s">
        <v>1461</v>
      </c>
      <c r="BD212" s="30">
        <v>38933</v>
      </c>
      <c r="BE212" s="3" t="s">
        <v>933</v>
      </c>
      <c r="BF212" s="30">
        <v>39293</v>
      </c>
      <c r="BG212" s="19" t="s">
        <v>934</v>
      </c>
      <c r="BH212" s="19" t="s">
        <v>934</v>
      </c>
      <c r="BI212" s="19" t="s">
        <v>945</v>
      </c>
      <c r="BJ212" s="19" t="s">
        <v>934</v>
      </c>
      <c r="BK212" s="19" t="s">
        <v>945</v>
      </c>
      <c r="BL212" s="19" t="s">
        <v>945</v>
      </c>
      <c r="BM212" s="19" t="s">
        <v>945</v>
      </c>
      <c r="BN212" s="19" t="s">
        <v>934</v>
      </c>
      <c r="BO212" s="19" t="s">
        <v>945</v>
      </c>
      <c r="BP212" s="19" t="s">
        <v>945</v>
      </c>
      <c r="BQ212" s="24" t="s">
        <v>945</v>
      </c>
      <c r="BR212" s="24" t="s">
        <v>945</v>
      </c>
      <c r="BS212" s="24" t="s">
        <v>934</v>
      </c>
      <c r="BT212" s="24" t="s">
        <v>934</v>
      </c>
      <c r="BU212" s="24" t="s">
        <v>934</v>
      </c>
      <c r="BV212" s="24" t="s">
        <v>934</v>
      </c>
      <c r="BW212" s="24" t="s">
        <v>934</v>
      </c>
      <c r="BX212" s="24" t="s">
        <v>934</v>
      </c>
      <c r="BY212" s="25" t="s">
        <v>945</v>
      </c>
      <c r="BZ212" t="s">
        <v>62</v>
      </c>
      <c r="CA212" s="20" t="s">
        <v>950</v>
      </c>
      <c r="CB212" t="s">
        <v>1</v>
      </c>
      <c r="CC212" s="4">
        <v>6720</v>
      </c>
      <c r="CD212" s="4" t="s">
        <v>1</v>
      </c>
      <c r="CE212" s="4" t="s">
        <v>1</v>
      </c>
      <c r="CF212" s="5" t="s">
        <v>793</v>
      </c>
      <c r="CG212">
        <v>100</v>
      </c>
      <c r="CH212" t="s">
        <v>1</v>
      </c>
      <c r="CI212" s="28" t="s">
        <v>1</v>
      </c>
      <c r="CJ212" s="10" t="s">
        <v>1</v>
      </c>
      <c r="CK212" s="9" t="s">
        <v>1</v>
      </c>
      <c r="CL212" s="4" t="s">
        <v>1</v>
      </c>
      <c r="CM212" s="4" t="s">
        <v>1</v>
      </c>
      <c r="CN212" s="4" t="s">
        <v>1</v>
      </c>
      <c r="CO212" s="4" t="s">
        <v>1</v>
      </c>
      <c r="CP212" s="4" t="s">
        <v>1</v>
      </c>
      <c r="CQ212" s="4" t="s">
        <v>1</v>
      </c>
      <c r="CR212" s="4" t="s">
        <v>1</v>
      </c>
      <c r="CS212" s="4" t="s">
        <v>1</v>
      </c>
      <c r="CT212" s="4" t="s">
        <v>1</v>
      </c>
      <c r="CU212" s="4" t="s">
        <v>1</v>
      </c>
      <c r="CV212" t="s">
        <v>855</v>
      </c>
      <c r="CW212">
        <v>100</v>
      </c>
      <c r="CX212">
        <v>0</v>
      </c>
      <c r="CY212">
        <v>30</v>
      </c>
      <c r="CZ212" t="s">
        <v>1358</v>
      </c>
      <c r="DA212" t="s">
        <v>734</v>
      </c>
      <c r="DB212">
        <v>64</v>
      </c>
      <c r="DC212">
        <v>0</v>
      </c>
      <c r="DD212">
        <v>30</v>
      </c>
      <c r="DE212" t="s">
        <v>1358</v>
      </c>
      <c r="DF212" t="s">
        <v>735</v>
      </c>
      <c r="DG212">
        <v>22</v>
      </c>
      <c r="DH212">
        <v>0</v>
      </c>
      <c r="DI212">
        <v>30</v>
      </c>
      <c r="DJ212" t="s">
        <v>1358</v>
      </c>
      <c r="DK212" t="s">
        <v>736</v>
      </c>
      <c r="DL212">
        <v>14</v>
      </c>
      <c r="DM212">
        <v>0</v>
      </c>
      <c r="DN212">
        <v>30</v>
      </c>
      <c r="DO212" t="s">
        <v>1358</v>
      </c>
      <c r="DP212" t="s">
        <v>6</v>
      </c>
      <c r="DQ212" t="s">
        <v>813</v>
      </c>
      <c r="DR212">
        <v>6.4</v>
      </c>
      <c r="DS212">
        <v>0</v>
      </c>
      <c r="DT212">
        <v>30</v>
      </c>
      <c r="DU212" t="s">
        <v>1358</v>
      </c>
      <c r="DV212" t="s">
        <v>980</v>
      </c>
      <c r="DW212">
        <v>28</v>
      </c>
      <c r="DX212">
        <v>0</v>
      </c>
      <c r="DY212">
        <v>30</v>
      </c>
      <c r="DZ212" t="s">
        <v>1358</v>
      </c>
      <c r="EA212" t="s">
        <v>982</v>
      </c>
      <c r="EB212">
        <v>16</v>
      </c>
      <c r="EC212">
        <v>0</v>
      </c>
      <c r="ED212">
        <v>30</v>
      </c>
      <c r="EE212" t="s">
        <v>1358</v>
      </c>
      <c r="EG212" t="s">
        <v>981</v>
      </c>
      <c r="EH212">
        <f t="shared" si="21"/>
        <v>1.4</v>
      </c>
      <c r="EI212">
        <v>0</v>
      </c>
      <c r="EJ212">
        <v>30</v>
      </c>
      <c r="EK212" t="s">
        <v>1358</v>
      </c>
      <c r="EL212" t="s">
        <v>734</v>
      </c>
      <c r="EM212">
        <v>71</v>
      </c>
      <c r="EN212">
        <v>30</v>
      </c>
      <c r="EO212">
        <v>60</v>
      </c>
      <c r="EP212" t="s">
        <v>1358</v>
      </c>
      <c r="EQ212" t="s">
        <v>735</v>
      </c>
      <c r="ER212">
        <v>17</v>
      </c>
      <c r="ES212">
        <v>30</v>
      </c>
      <c r="ET212">
        <v>60</v>
      </c>
      <c r="EU212" t="s">
        <v>1358</v>
      </c>
      <c r="EV212" t="s">
        <v>736</v>
      </c>
      <c r="EW212">
        <v>12</v>
      </c>
      <c r="EX212">
        <v>30</v>
      </c>
      <c r="EY212">
        <v>60</v>
      </c>
      <c r="EZ212" t="s">
        <v>1358</v>
      </c>
      <c r="FA212" t="s">
        <v>980</v>
      </c>
      <c r="FB212">
        <v>25</v>
      </c>
      <c r="FC212">
        <v>30</v>
      </c>
      <c r="FD212">
        <v>60</v>
      </c>
      <c r="FE212" t="s">
        <v>1358</v>
      </c>
      <c r="FF212" t="s">
        <v>734</v>
      </c>
      <c r="FG212">
        <f t="shared" si="22"/>
        <v>67.34</v>
      </c>
      <c r="FH212">
        <v>60</v>
      </c>
      <c r="FI212">
        <v>90</v>
      </c>
      <c r="FJ212" t="s">
        <v>1358</v>
      </c>
      <c r="FK212" t="s">
        <v>735</v>
      </c>
      <c r="FL212">
        <f t="shared" si="23"/>
        <v>20.100000000000001</v>
      </c>
      <c r="FM212">
        <v>60</v>
      </c>
      <c r="FN212">
        <v>90</v>
      </c>
      <c r="FO212" t="s">
        <v>1358</v>
      </c>
      <c r="FP212" t="s">
        <v>736</v>
      </c>
      <c r="FQ212">
        <f t="shared" si="24"/>
        <v>12.56</v>
      </c>
      <c r="FR212">
        <v>60</v>
      </c>
      <c r="FS212">
        <v>90</v>
      </c>
      <c r="FT212" t="s">
        <v>1358</v>
      </c>
      <c r="FU212" t="s">
        <v>980</v>
      </c>
      <c r="FV212">
        <v>25</v>
      </c>
      <c r="FW212">
        <v>60</v>
      </c>
      <c r="FX212">
        <v>90</v>
      </c>
      <c r="FY212" t="s">
        <v>1358</v>
      </c>
      <c r="FZ212" t="s">
        <v>957</v>
      </c>
      <c r="GA212" t="s">
        <v>958</v>
      </c>
      <c r="GB212" t="s">
        <v>959</v>
      </c>
      <c r="GC212" t="s">
        <v>1</v>
      </c>
      <c r="GD212" t="s">
        <v>1</v>
      </c>
      <c r="GE212" s="26" t="s">
        <v>1358</v>
      </c>
      <c r="GF212" t="s">
        <v>957</v>
      </c>
      <c r="GG212" t="s">
        <v>961</v>
      </c>
      <c r="GH212" t="s">
        <v>960</v>
      </c>
      <c r="GI212" s="20">
        <v>1961</v>
      </c>
      <c r="GJ212" s="20">
        <v>1990</v>
      </c>
      <c r="GK212" s="26" t="s">
        <v>1358</v>
      </c>
      <c r="GL212" t="s">
        <v>953</v>
      </c>
      <c r="GM212" t="s">
        <v>955</v>
      </c>
      <c r="GN212" t="s">
        <v>954</v>
      </c>
      <c r="GO212" s="5" t="s">
        <v>956</v>
      </c>
      <c r="GP212" s="5" t="s">
        <v>1382</v>
      </c>
      <c r="GQ212" s="5" t="s">
        <v>962</v>
      </c>
      <c r="GR212" s="5" t="s">
        <v>963</v>
      </c>
      <c r="GS212" s="5" t="s">
        <v>959</v>
      </c>
      <c r="GT212" s="26" t="s">
        <v>1358</v>
      </c>
      <c r="GU212" s="5" t="s">
        <v>962</v>
      </c>
      <c r="GV212" s="5" t="s">
        <v>964</v>
      </c>
      <c r="GW212" s="5" t="s">
        <v>960</v>
      </c>
      <c r="GX212" s="20">
        <v>1961</v>
      </c>
      <c r="GY212" s="20">
        <v>1990</v>
      </c>
      <c r="GZ212" s="26" t="s">
        <v>1358</v>
      </c>
      <c r="HA212" s="5" t="s">
        <v>1</v>
      </c>
      <c r="HB212" s="5" t="s">
        <v>1</v>
      </c>
      <c r="HC212" s="5" t="s">
        <v>1</v>
      </c>
      <c r="HD212" s="5" t="s">
        <v>1</v>
      </c>
      <c r="HE212" t="s">
        <v>1</v>
      </c>
      <c r="HF212" s="5" t="s">
        <v>1</v>
      </c>
      <c r="HG212" s="5" t="s">
        <v>1</v>
      </c>
      <c r="HH212" s="5" t="s">
        <v>1</v>
      </c>
      <c r="HI212" s="5" t="s">
        <v>1</v>
      </c>
      <c r="HJ212" t="s">
        <v>1</v>
      </c>
      <c r="HK212" t="s">
        <v>1</v>
      </c>
      <c r="HL212" t="s">
        <v>1</v>
      </c>
      <c r="HM212" t="s">
        <v>1</v>
      </c>
      <c r="HN212" t="s">
        <v>1</v>
      </c>
      <c r="HO212" t="s">
        <v>1</v>
      </c>
      <c r="HP212" t="s">
        <v>1</v>
      </c>
      <c r="HQ212" t="s">
        <v>983</v>
      </c>
      <c r="HR212" t="s">
        <v>1046</v>
      </c>
      <c r="HS212" s="5" t="s">
        <v>1049</v>
      </c>
      <c r="HT212" s="28" t="s">
        <v>1425</v>
      </c>
      <c r="HU212" s="5" t="s">
        <v>842</v>
      </c>
      <c r="HV212" s="5" t="s">
        <v>1358</v>
      </c>
      <c r="HW212" t="s">
        <v>937</v>
      </c>
      <c r="HX212" s="3" t="s">
        <v>1</v>
      </c>
      <c r="HY212" s="30">
        <v>38978</v>
      </c>
      <c r="HZ212" t="s">
        <v>1295</v>
      </c>
      <c r="IA212">
        <v>100</v>
      </c>
      <c r="IB212" s="10" t="s">
        <v>1</v>
      </c>
      <c r="IC212" s="10">
        <v>15</v>
      </c>
      <c r="ID212" s="10" t="s">
        <v>984</v>
      </c>
      <c r="IE212" s="10" t="s">
        <v>1</v>
      </c>
      <c r="IF212" s="10" t="s">
        <v>1</v>
      </c>
      <c r="IG212" t="s">
        <v>1</v>
      </c>
      <c r="IH212" s="10" t="s">
        <v>1</v>
      </c>
      <c r="II212" s="10" t="s">
        <v>1</v>
      </c>
      <c r="IJ212" s="10" t="s">
        <v>1</v>
      </c>
      <c r="IK212" t="s">
        <v>1</v>
      </c>
      <c r="IL212" s="10" t="s">
        <v>1</v>
      </c>
      <c r="IM212" s="10" t="s">
        <v>1</v>
      </c>
      <c r="IN212" s="10" t="s">
        <v>1</v>
      </c>
      <c r="IO212" s="10" t="s">
        <v>1</v>
      </c>
      <c r="IP212" s="10" t="s">
        <v>1</v>
      </c>
      <c r="IQ212" s="10" t="s">
        <v>1</v>
      </c>
      <c r="IR212" s="10" t="s">
        <v>1</v>
      </c>
      <c r="IS212" t="s">
        <v>1</v>
      </c>
      <c r="IT212" t="s">
        <v>1</v>
      </c>
      <c r="IW212" t="s">
        <v>1</v>
      </c>
      <c r="IX212" t="s">
        <v>1</v>
      </c>
      <c r="IY212" t="s">
        <v>1</v>
      </c>
      <c r="IZ212" t="s">
        <v>1</v>
      </c>
      <c r="JA212" t="s">
        <v>1</v>
      </c>
      <c r="JB212" s="3" t="s">
        <v>1</v>
      </c>
      <c r="JC212" t="s">
        <v>1</v>
      </c>
      <c r="JD212" s="4" t="s">
        <v>1</v>
      </c>
      <c r="JE212" t="s">
        <v>810</v>
      </c>
      <c r="JF212">
        <v>100</v>
      </c>
      <c r="JG212" t="s">
        <v>859</v>
      </c>
      <c r="JH212" t="s">
        <v>1393</v>
      </c>
      <c r="JI212" t="s">
        <v>947</v>
      </c>
      <c r="JJ212" t="s">
        <v>1</v>
      </c>
      <c r="JK212" s="33" t="s">
        <v>1053</v>
      </c>
      <c r="JL212" t="s">
        <v>1</v>
      </c>
      <c r="JM212" t="s">
        <v>1</v>
      </c>
      <c r="JN212" t="s">
        <v>1050</v>
      </c>
      <c r="JO212" s="30">
        <v>38978</v>
      </c>
      <c r="JP212" t="s">
        <v>1051</v>
      </c>
      <c r="JQ212" s="32" t="s">
        <v>1060</v>
      </c>
      <c r="JR212" t="s">
        <v>1066</v>
      </c>
      <c r="JS212" t="s">
        <v>1021</v>
      </c>
      <c r="JT212" t="s">
        <v>1014</v>
      </c>
      <c r="JU212" t="s">
        <v>1</v>
      </c>
      <c r="JV212" t="s">
        <v>1424</v>
      </c>
      <c r="JW212" t="s">
        <v>842</v>
      </c>
      <c r="JX212">
        <v>0</v>
      </c>
      <c r="JY212">
        <v>80</v>
      </c>
      <c r="JZ212" t="s">
        <v>800</v>
      </c>
      <c r="KA212" t="s">
        <v>206</v>
      </c>
      <c r="KB212" t="s">
        <v>738</v>
      </c>
      <c r="KC212" t="s">
        <v>1</v>
      </c>
      <c r="KD212" t="s">
        <v>1</v>
      </c>
      <c r="KE212" t="s">
        <v>1</v>
      </c>
      <c r="KF212" t="s">
        <v>1</v>
      </c>
      <c r="KG212" t="s">
        <v>1</v>
      </c>
      <c r="KH212" t="s">
        <v>1</v>
      </c>
      <c r="KI212" t="s">
        <v>1</v>
      </c>
      <c r="KJ212" t="s">
        <v>1</v>
      </c>
      <c r="KK212" t="s">
        <v>1</v>
      </c>
    </row>
    <row r="213" spans="1:297" x14ac:dyDescent="0.2">
      <c r="A213" s="3" t="s">
        <v>912</v>
      </c>
      <c r="B213" t="s">
        <v>705</v>
      </c>
      <c r="C213" t="s">
        <v>930</v>
      </c>
      <c r="D213" t="s">
        <v>690</v>
      </c>
      <c r="E213">
        <v>29</v>
      </c>
      <c r="F213" t="s">
        <v>213</v>
      </c>
      <c r="G213" t="s">
        <v>1</v>
      </c>
      <c r="H213" s="26" t="s">
        <v>1420</v>
      </c>
      <c r="I213" t="s">
        <v>1</v>
      </c>
      <c r="J213" t="s">
        <v>1</v>
      </c>
      <c r="K213" t="s">
        <v>1</v>
      </c>
      <c r="L213" t="s">
        <v>1</v>
      </c>
      <c r="M213" t="s">
        <v>1</v>
      </c>
      <c r="N213" t="s">
        <v>1</v>
      </c>
      <c r="O213" t="s">
        <v>1</v>
      </c>
      <c r="P213" t="s">
        <v>1</v>
      </c>
      <c r="Q213" t="s">
        <v>1</v>
      </c>
      <c r="R213" t="s">
        <v>1</v>
      </c>
      <c r="S213" t="s">
        <v>1</v>
      </c>
      <c r="T213" t="s">
        <v>1</v>
      </c>
      <c r="U213" t="s">
        <v>1</v>
      </c>
      <c r="V213" t="s">
        <v>1</v>
      </c>
      <c r="W213" t="s">
        <v>1</v>
      </c>
      <c r="X213" t="s">
        <v>1</v>
      </c>
      <c r="Y213" t="s">
        <v>1</v>
      </c>
      <c r="Z213" t="s">
        <v>1</v>
      </c>
      <c r="AA213" t="s">
        <v>1</v>
      </c>
      <c r="AB213" t="s">
        <v>1</v>
      </c>
      <c r="AC213" t="s">
        <v>1</v>
      </c>
      <c r="AD213" t="s">
        <v>1</v>
      </c>
      <c r="AE213" t="s">
        <v>1</v>
      </c>
      <c r="AF213" t="s">
        <v>1</v>
      </c>
      <c r="AG213" t="s">
        <v>1</v>
      </c>
      <c r="AH213" t="s">
        <v>1</v>
      </c>
      <c r="AI213" t="s">
        <v>1</v>
      </c>
      <c r="AJ213" t="s">
        <v>1</v>
      </c>
      <c r="AK213" t="s">
        <v>1</v>
      </c>
      <c r="AL213" t="s">
        <v>1</v>
      </c>
      <c r="AM213" t="s">
        <v>1</v>
      </c>
      <c r="AN213" s="3" t="s">
        <v>912</v>
      </c>
      <c r="AO213" t="str">
        <f t="shared" si="25"/>
        <v>180-35</v>
      </c>
      <c r="AP213">
        <f t="shared" si="26"/>
        <v>29</v>
      </c>
      <c r="AQ213">
        <f t="shared" si="27"/>
        <v>29</v>
      </c>
      <c r="AR213" t="s">
        <v>1355</v>
      </c>
      <c r="AS213" t="s">
        <v>1356</v>
      </c>
      <c r="AT213" t="s">
        <v>714</v>
      </c>
      <c r="AU213" t="s">
        <v>1</v>
      </c>
      <c r="AV213" t="s">
        <v>1</v>
      </c>
      <c r="AW213">
        <v>58.37</v>
      </c>
      <c r="AX213">
        <v>13.48</v>
      </c>
      <c r="AY213" t="s">
        <v>737</v>
      </c>
      <c r="AZ213">
        <f t="shared" si="19"/>
        <v>5.3999999999999999E-2</v>
      </c>
      <c r="BA213" s="3">
        <f t="shared" si="20"/>
        <v>6</v>
      </c>
      <c r="BB213" s="10" t="s">
        <v>1355</v>
      </c>
      <c r="BC213" t="s">
        <v>1461</v>
      </c>
      <c r="BD213" s="30">
        <v>38933</v>
      </c>
      <c r="BE213" s="3" t="s">
        <v>933</v>
      </c>
      <c r="BF213" s="30">
        <v>39293</v>
      </c>
      <c r="BG213" s="19" t="s">
        <v>934</v>
      </c>
      <c r="BH213" s="19" t="s">
        <v>934</v>
      </c>
      <c r="BI213" s="19" t="s">
        <v>945</v>
      </c>
      <c r="BJ213" s="19" t="s">
        <v>934</v>
      </c>
      <c r="BK213" s="19" t="s">
        <v>945</v>
      </c>
      <c r="BL213" s="19" t="s">
        <v>945</v>
      </c>
      <c r="BM213" s="19" t="s">
        <v>945</v>
      </c>
      <c r="BN213" s="19" t="s">
        <v>934</v>
      </c>
      <c r="BO213" s="19" t="s">
        <v>945</v>
      </c>
      <c r="BP213" s="19" t="s">
        <v>945</v>
      </c>
      <c r="BQ213" s="24" t="s">
        <v>945</v>
      </c>
      <c r="BR213" s="24" t="s">
        <v>945</v>
      </c>
      <c r="BS213" s="24" t="s">
        <v>934</v>
      </c>
      <c r="BT213" s="24" t="s">
        <v>934</v>
      </c>
      <c r="BU213" s="24" t="s">
        <v>934</v>
      </c>
      <c r="BV213" s="24" t="s">
        <v>934</v>
      </c>
      <c r="BW213" s="24" t="s">
        <v>934</v>
      </c>
      <c r="BX213" s="24" t="s">
        <v>934</v>
      </c>
      <c r="BY213" s="25" t="s">
        <v>945</v>
      </c>
      <c r="BZ213" t="s">
        <v>62</v>
      </c>
      <c r="CA213" s="20" t="s">
        <v>950</v>
      </c>
      <c r="CB213" t="s">
        <v>1</v>
      </c>
      <c r="CC213" s="4">
        <v>6580</v>
      </c>
      <c r="CD213" s="4" t="s">
        <v>1</v>
      </c>
      <c r="CE213" s="4" t="s">
        <v>1</v>
      </c>
      <c r="CF213" s="5" t="s">
        <v>793</v>
      </c>
      <c r="CG213">
        <v>100</v>
      </c>
      <c r="CH213" t="s">
        <v>1</v>
      </c>
      <c r="CI213" s="28" t="s">
        <v>1</v>
      </c>
      <c r="CJ213" s="10" t="s">
        <v>1</v>
      </c>
      <c r="CK213" s="9" t="s">
        <v>1</v>
      </c>
      <c r="CL213" s="4" t="s">
        <v>1</v>
      </c>
      <c r="CM213" s="4" t="s">
        <v>1</v>
      </c>
      <c r="CN213" s="4" t="s">
        <v>1</v>
      </c>
      <c r="CO213" s="4" t="s">
        <v>1</v>
      </c>
      <c r="CP213" s="4" t="s">
        <v>1</v>
      </c>
      <c r="CQ213" s="4" t="s">
        <v>1</v>
      </c>
      <c r="CR213" s="4" t="s">
        <v>1</v>
      </c>
      <c r="CS213" s="4" t="s">
        <v>1</v>
      </c>
      <c r="CT213" s="4" t="s">
        <v>1</v>
      </c>
      <c r="CU213" s="4" t="s">
        <v>1</v>
      </c>
      <c r="CV213" t="s">
        <v>855</v>
      </c>
      <c r="CW213">
        <v>100</v>
      </c>
      <c r="CX213">
        <v>0</v>
      </c>
      <c r="CY213">
        <v>30</v>
      </c>
      <c r="CZ213" t="s">
        <v>1358</v>
      </c>
      <c r="DA213" t="s">
        <v>734</v>
      </c>
      <c r="DB213">
        <v>64</v>
      </c>
      <c r="DC213">
        <v>0</v>
      </c>
      <c r="DD213">
        <v>30</v>
      </c>
      <c r="DE213" t="s">
        <v>1358</v>
      </c>
      <c r="DF213" t="s">
        <v>735</v>
      </c>
      <c r="DG213">
        <v>22</v>
      </c>
      <c r="DH213">
        <v>0</v>
      </c>
      <c r="DI213">
        <v>30</v>
      </c>
      <c r="DJ213" t="s">
        <v>1358</v>
      </c>
      <c r="DK213" t="s">
        <v>736</v>
      </c>
      <c r="DL213">
        <v>14</v>
      </c>
      <c r="DM213">
        <v>0</v>
      </c>
      <c r="DN213">
        <v>30</v>
      </c>
      <c r="DO213" t="s">
        <v>1358</v>
      </c>
      <c r="DP213" t="s">
        <v>6</v>
      </c>
      <c r="DQ213" t="s">
        <v>813</v>
      </c>
      <c r="DR213">
        <v>6.4</v>
      </c>
      <c r="DS213">
        <v>0</v>
      </c>
      <c r="DT213">
        <v>30</v>
      </c>
      <c r="DU213" t="s">
        <v>1358</v>
      </c>
      <c r="DV213" t="s">
        <v>980</v>
      </c>
      <c r="DW213">
        <v>28</v>
      </c>
      <c r="DX213">
        <v>0</v>
      </c>
      <c r="DY213">
        <v>30</v>
      </c>
      <c r="DZ213" t="s">
        <v>1358</v>
      </c>
      <c r="EA213" t="s">
        <v>982</v>
      </c>
      <c r="EB213">
        <v>16</v>
      </c>
      <c r="EC213">
        <v>0</v>
      </c>
      <c r="ED213">
        <v>30</v>
      </c>
      <c r="EE213" t="s">
        <v>1358</v>
      </c>
      <c r="EG213" t="s">
        <v>981</v>
      </c>
      <c r="EH213">
        <f t="shared" si="21"/>
        <v>1.4</v>
      </c>
      <c r="EI213">
        <v>0</v>
      </c>
      <c r="EJ213">
        <v>30</v>
      </c>
      <c r="EK213" t="s">
        <v>1358</v>
      </c>
      <c r="EL213" t="s">
        <v>734</v>
      </c>
      <c r="EM213">
        <v>71</v>
      </c>
      <c r="EN213">
        <v>30</v>
      </c>
      <c r="EO213">
        <v>60</v>
      </c>
      <c r="EP213" t="s">
        <v>1358</v>
      </c>
      <c r="EQ213" t="s">
        <v>735</v>
      </c>
      <c r="ER213">
        <v>17</v>
      </c>
      <c r="ES213">
        <v>30</v>
      </c>
      <c r="ET213">
        <v>60</v>
      </c>
      <c r="EU213" t="s">
        <v>1358</v>
      </c>
      <c r="EV213" t="s">
        <v>736</v>
      </c>
      <c r="EW213">
        <v>12</v>
      </c>
      <c r="EX213">
        <v>30</v>
      </c>
      <c r="EY213">
        <v>60</v>
      </c>
      <c r="EZ213" t="s">
        <v>1358</v>
      </c>
      <c r="FA213" t="s">
        <v>980</v>
      </c>
      <c r="FB213">
        <v>25</v>
      </c>
      <c r="FC213">
        <v>30</v>
      </c>
      <c r="FD213">
        <v>60</v>
      </c>
      <c r="FE213" t="s">
        <v>1358</v>
      </c>
      <c r="FF213" t="s">
        <v>734</v>
      </c>
      <c r="FG213">
        <f t="shared" si="22"/>
        <v>67.34</v>
      </c>
      <c r="FH213">
        <v>60</v>
      </c>
      <c r="FI213">
        <v>90</v>
      </c>
      <c r="FJ213" t="s">
        <v>1358</v>
      </c>
      <c r="FK213" t="s">
        <v>735</v>
      </c>
      <c r="FL213">
        <f t="shared" si="23"/>
        <v>20.100000000000001</v>
      </c>
      <c r="FM213">
        <v>60</v>
      </c>
      <c r="FN213">
        <v>90</v>
      </c>
      <c r="FO213" t="s">
        <v>1358</v>
      </c>
      <c r="FP213" t="s">
        <v>736</v>
      </c>
      <c r="FQ213">
        <f t="shared" si="24"/>
        <v>12.56</v>
      </c>
      <c r="FR213">
        <v>60</v>
      </c>
      <c r="FS213">
        <v>90</v>
      </c>
      <c r="FT213" t="s">
        <v>1358</v>
      </c>
      <c r="FU213" t="s">
        <v>980</v>
      </c>
      <c r="FV213">
        <v>25</v>
      </c>
      <c r="FW213">
        <v>60</v>
      </c>
      <c r="FX213">
        <v>90</v>
      </c>
      <c r="FY213" t="s">
        <v>1358</v>
      </c>
      <c r="FZ213" t="s">
        <v>957</v>
      </c>
      <c r="GA213" t="s">
        <v>958</v>
      </c>
      <c r="GB213" t="s">
        <v>959</v>
      </c>
      <c r="GC213" t="s">
        <v>1</v>
      </c>
      <c r="GD213" t="s">
        <v>1</v>
      </c>
      <c r="GE213" s="26" t="s">
        <v>1358</v>
      </c>
      <c r="GF213" t="s">
        <v>957</v>
      </c>
      <c r="GG213" t="s">
        <v>961</v>
      </c>
      <c r="GH213" t="s">
        <v>960</v>
      </c>
      <c r="GI213" s="20">
        <v>1961</v>
      </c>
      <c r="GJ213" s="20">
        <v>1990</v>
      </c>
      <c r="GK213" s="26" t="s">
        <v>1358</v>
      </c>
      <c r="GL213" t="s">
        <v>953</v>
      </c>
      <c r="GM213" t="s">
        <v>955</v>
      </c>
      <c r="GN213" t="s">
        <v>954</v>
      </c>
      <c r="GO213" s="5" t="s">
        <v>956</v>
      </c>
      <c r="GP213" s="5" t="s">
        <v>1382</v>
      </c>
      <c r="GQ213" s="5" t="s">
        <v>962</v>
      </c>
      <c r="GR213" s="5" t="s">
        <v>963</v>
      </c>
      <c r="GS213" s="5" t="s">
        <v>959</v>
      </c>
      <c r="GT213" s="26" t="s">
        <v>1358</v>
      </c>
      <c r="GU213" s="5" t="s">
        <v>962</v>
      </c>
      <c r="GV213" s="5" t="s">
        <v>964</v>
      </c>
      <c r="GW213" s="5" t="s">
        <v>960</v>
      </c>
      <c r="GX213" s="20">
        <v>1961</v>
      </c>
      <c r="GY213" s="20">
        <v>1990</v>
      </c>
      <c r="GZ213" s="26" t="s">
        <v>1358</v>
      </c>
      <c r="HA213" s="5" t="s">
        <v>1</v>
      </c>
      <c r="HB213" s="5" t="s">
        <v>1</v>
      </c>
      <c r="HC213" s="5" t="s">
        <v>1</v>
      </c>
      <c r="HD213" s="5" t="s">
        <v>1</v>
      </c>
      <c r="HE213" t="s">
        <v>1</v>
      </c>
      <c r="HF213" s="5" t="s">
        <v>1</v>
      </c>
      <c r="HG213" s="5" t="s">
        <v>1</v>
      </c>
      <c r="HH213" s="5" t="s">
        <v>1</v>
      </c>
      <c r="HI213" s="5" t="s">
        <v>1</v>
      </c>
      <c r="HJ213" t="s">
        <v>1</v>
      </c>
      <c r="HK213" t="s">
        <v>1</v>
      </c>
      <c r="HL213" t="s">
        <v>1</v>
      </c>
      <c r="HM213" t="s">
        <v>1</v>
      </c>
      <c r="HN213" t="s">
        <v>1</v>
      </c>
      <c r="HO213" t="s">
        <v>1</v>
      </c>
      <c r="HP213" t="s">
        <v>1</v>
      </c>
      <c r="HQ213" t="s">
        <v>983</v>
      </c>
      <c r="HR213" t="s">
        <v>1047</v>
      </c>
      <c r="HS213" s="5" t="s">
        <v>1049</v>
      </c>
      <c r="HT213" s="28" t="s">
        <v>1425</v>
      </c>
      <c r="HU213" s="5" t="s">
        <v>842</v>
      </c>
      <c r="HV213" s="5" t="s">
        <v>1358</v>
      </c>
      <c r="HW213" t="s">
        <v>937</v>
      </c>
      <c r="HX213" s="3" t="s">
        <v>1</v>
      </c>
      <c r="HY213" s="30">
        <v>38978</v>
      </c>
      <c r="HZ213" t="s">
        <v>1295</v>
      </c>
      <c r="IA213">
        <v>100</v>
      </c>
      <c r="IB213" s="10" t="s">
        <v>1</v>
      </c>
      <c r="IC213" s="10">
        <v>15</v>
      </c>
      <c r="ID213" s="10" t="s">
        <v>984</v>
      </c>
      <c r="IE213" s="10" t="s">
        <v>1</v>
      </c>
      <c r="IF213" s="10" t="s">
        <v>1</v>
      </c>
      <c r="IG213" t="s">
        <v>1</v>
      </c>
      <c r="IH213" s="10" t="s">
        <v>1</v>
      </c>
      <c r="II213" s="10" t="s">
        <v>1</v>
      </c>
      <c r="IJ213" s="10" t="s">
        <v>1</v>
      </c>
      <c r="IK213" t="s">
        <v>1</v>
      </c>
      <c r="IL213" s="10" t="s">
        <v>1</v>
      </c>
      <c r="IM213" s="10" t="s">
        <v>1</v>
      </c>
      <c r="IN213" s="10" t="s">
        <v>1</v>
      </c>
      <c r="IO213" s="10" t="s">
        <v>1</v>
      </c>
      <c r="IP213" s="10" t="s">
        <v>1</v>
      </c>
      <c r="IQ213" s="10" t="s">
        <v>1</v>
      </c>
      <c r="IR213" s="10" t="s">
        <v>1</v>
      </c>
      <c r="IS213" t="s">
        <v>1</v>
      </c>
      <c r="IT213" t="s">
        <v>1</v>
      </c>
      <c r="IW213" t="s">
        <v>1</v>
      </c>
      <c r="IX213" t="s">
        <v>1</v>
      </c>
      <c r="IY213" t="s">
        <v>1</v>
      </c>
      <c r="IZ213" t="s">
        <v>1</v>
      </c>
      <c r="JA213" t="s">
        <v>1</v>
      </c>
      <c r="JB213" s="3" t="s">
        <v>1</v>
      </c>
      <c r="JC213" t="s">
        <v>1</v>
      </c>
      <c r="JD213" s="4" t="s">
        <v>1</v>
      </c>
      <c r="JE213" t="s">
        <v>810</v>
      </c>
      <c r="JF213">
        <v>100</v>
      </c>
      <c r="JG213" t="s">
        <v>859</v>
      </c>
      <c r="JH213" t="s">
        <v>1393</v>
      </c>
      <c r="JI213" t="s">
        <v>947</v>
      </c>
      <c r="JJ213" t="s">
        <v>1</v>
      </c>
      <c r="JK213" s="33" t="s">
        <v>1053</v>
      </c>
      <c r="JL213" t="s">
        <v>1</v>
      </c>
      <c r="JM213" t="s">
        <v>1</v>
      </c>
      <c r="JN213" t="s">
        <v>1050</v>
      </c>
      <c r="JO213" s="30">
        <v>38978</v>
      </c>
      <c r="JP213" t="s">
        <v>1051</v>
      </c>
      <c r="JQ213" s="32" t="s">
        <v>1060</v>
      </c>
      <c r="JR213" t="s">
        <v>1066</v>
      </c>
      <c r="JS213" t="s">
        <v>1022</v>
      </c>
      <c r="JT213" t="s">
        <v>1014</v>
      </c>
      <c r="JU213" t="s">
        <v>1</v>
      </c>
      <c r="JV213" t="s">
        <v>1424</v>
      </c>
      <c r="JW213" t="s">
        <v>842</v>
      </c>
      <c r="JX213">
        <v>0</v>
      </c>
      <c r="JY213">
        <v>80</v>
      </c>
      <c r="JZ213" t="s">
        <v>800</v>
      </c>
      <c r="KA213" t="s">
        <v>206</v>
      </c>
      <c r="KB213" t="s">
        <v>738</v>
      </c>
      <c r="KC213" t="s">
        <v>1</v>
      </c>
      <c r="KD213" t="s">
        <v>1</v>
      </c>
      <c r="KE213" t="s">
        <v>1</v>
      </c>
      <c r="KF213" t="s">
        <v>1</v>
      </c>
      <c r="KG213" t="s">
        <v>1</v>
      </c>
      <c r="KH213" t="s">
        <v>1</v>
      </c>
      <c r="KI213" t="s">
        <v>1</v>
      </c>
      <c r="KJ213" t="s">
        <v>1</v>
      </c>
      <c r="KK213" t="s">
        <v>1</v>
      </c>
    </row>
    <row r="214" spans="1:297" x14ac:dyDescent="0.2">
      <c r="A214" s="3" t="s">
        <v>913</v>
      </c>
      <c r="B214" t="s">
        <v>705</v>
      </c>
      <c r="C214" t="s">
        <v>931</v>
      </c>
      <c r="D214" t="s">
        <v>690</v>
      </c>
      <c r="E214">
        <v>29</v>
      </c>
      <c r="F214" t="s">
        <v>213</v>
      </c>
      <c r="G214" t="s">
        <v>1</v>
      </c>
      <c r="H214" s="26" t="s">
        <v>1420</v>
      </c>
      <c r="I214" t="s">
        <v>1</v>
      </c>
      <c r="J214" t="s">
        <v>1</v>
      </c>
      <c r="K214" t="s">
        <v>1</v>
      </c>
      <c r="L214" t="s">
        <v>1</v>
      </c>
      <c r="M214" t="s">
        <v>1</v>
      </c>
      <c r="N214" t="s">
        <v>1</v>
      </c>
      <c r="O214" t="s">
        <v>1</v>
      </c>
      <c r="P214" t="s">
        <v>1</v>
      </c>
      <c r="Q214" t="s">
        <v>1</v>
      </c>
      <c r="R214" t="s">
        <v>1</v>
      </c>
      <c r="S214" t="s">
        <v>1</v>
      </c>
      <c r="T214" t="s">
        <v>1</v>
      </c>
      <c r="U214" t="s">
        <v>1</v>
      </c>
      <c r="V214" t="s">
        <v>1</v>
      </c>
      <c r="W214" t="s">
        <v>1</v>
      </c>
      <c r="X214" t="s">
        <v>1</v>
      </c>
      <c r="Y214" t="s">
        <v>1</v>
      </c>
      <c r="Z214" t="s">
        <v>1</v>
      </c>
      <c r="AA214" t="s">
        <v>1</v>
      </c>
      <c r="AB214" t="s">
        <v>1</v>
      </c>
      <c r="AC214" t="s">
        <v>1</v>
      </c>
      <c r="AD214" t="s">
        <v>1</v>
      </c>
      <c r="AE214" t="s">
        <v>1</v>
      </c>
      <c r="AF214" t="s">
        <v>1</v>
      </c>
      <c r="AG214" t="s">
        <v>1</v>
      </c>
      <c r="AH214" t="s">
        <v>1</v>
      </c>
      <c r="AI214" t="s">
        <v>1</v>
      </c>
      <c r="AJ214" t="s">
        <v>1</v>
      </c>
      <c r="AK214" t="s">
        <v>1</v>
      </c>
      <c r="AL214" t="s">
        <v>1</v>
      </c>
      <c r="AM214" t="s">
        <v>1</v>
      </c>
      <c r="AN214" s="3" t="s">
        <v>913</v>
      </c>
      <c r="AO214" t="str">
        <f t="shared" si="25"/>
        <v>180-36</v>
      </c>
      <c r="AP214">
        <f t="shared" si="26"/>
        <v>29</v>
      </c>
      <c r="AQ214">
        <f t="shared" si="27"/>
        <v>29</v>
      </c>
      <c r="AR214" t="s">
        <v>1355</v>
      </c>
      <c r="AS214" t="s">
        <v>1356</v>
      </c>
      <c r="AT214" t="s">
        <v>714</v>
      </c>
      <c r="AU214" t="s">
        <v>1</v>
      </c>
      <c r="AV214" t="s">
        <v>1</v>
      </c>
      <c r="AW214">
        <v>58.37</v>
      </c>
      <c r="AX214">
        <v>13.48</v>
      </c>
      <c r="AY214" t="s">
        <v>737</v>
      </c>
      <c r="AZ214">
        <f t="shared" si="19"/>
        <v>5.3999999999999999E-2</v>
      </c>
      <c r="BA214" s="3">
        <f t="shared" si="20"/>
        <v>6</v>
      </c>
      <c r="BB214" s="10" t="s">
        <v>1355</v>
      </c>
      <c r="BC214" t="s">
        <v>1461</v>
      </c>
      <c r="BD214" s="30">
        <v>38933</v>
      </c>
      <c r="BE214" s="3" t="s">
        <v>933</v>
      </c>
      <c r="BF214" s="30">
        <v>39293</v>
      </c>
      <c r="BG214" s="19" t="s">
        <v>934</v>
      </c>
      <c r="BH214" s="19" t="s">
        <v>934</v>
      </c>
      <c r="BI214" s="19" t="s">
        <v>945</v>
      </c>
      <c r="BJ214" s="19" t="s">
        <v>934</v>
      </c>
      <c r="BK214" s="19" t="s">
        <v>945</v>
      </c>
      <c r="BL214" s="19" t="s">
        <v>945</v>
      </c>
      <c r="BM214" s="19" t="s">
        <v>945</v>
      </c>
      <c r="BN214" s="19" t="s">
        <v>934</v>
      </c>
      <c r="BO214" s="19" t="s">
        <v>945</v>
      </c>
      <c r="BP214" s="19" t="s">
        <v>945</v>
      </c>
      <c r="BQ214" s="24" t="s">
        <v>945</v>
      </c>
      <c r="BR214" s="24" t="s">
        <v>945</v>
      </c>
      <c r="BS214" s="24" t="s">
        <v>934</v>
      </c>
      <c r="BT214" s="24" t="s">
        <v>934</v>
      </c>
      <c r="BU214" s="24" t="s">
        <v>934</v>
      </c>
      <c r="BV214" s="24" t="s">
        <v>934</v>
      </c>
      <c r="BW214" s="24" t="s">
        <v>934</v>
      </c>
      <c r="BX214" s="24" t="s">
        <v>934</v>
      </c>
      <c r="BY214" s="25" t="s">
        <v>945</v>
      </c>
      <c r="BZ214" t="s">
        <v>62</v>
      </c>
      <c r="CA214" s="20" t="s">
        <v>950</v>
      </c>
      <c r="CB214" t="s">
        <v>1</v>
      </c>
      <c r="CC214" s="4">
        <v>6660</v>
      </c>
      <c r="CD214" s="4" t="s">
        <v>1</v>
      </c>
      <c r="CE214" s="4" t="s">
        <v>1</v>
      </c>
      <c r="CF214" s="5" t="s">
        <v>793</v>
      </c>
      <c r="CG214">
        <v>100</v>
      </c>
      <c r="CH214" t="s">
        <v>1</v>
      </c>
      <c r="CI214" s="28" t="s">
        <v>1</v>
      </c>
      <c r="CJ214" s="10" t="s">
        <v>1</v>
      </c>
      <c r="CK214" s="9" t="s">
        <v>1</v>
      </c>
      <c r="CL214" s="4" t="s">
        <v>1</v>
      </c>
      <c r="CM214" s="4" t="s">
        <v>1</v>
      </c>
      <c r="CN214" s="4" t="s">
        <v>1</v>
      </c>
      <c r="CO214" s="4" t="s">
        <v>1</v>
      </c>
      <c r="CP214" s="4" t="s">
        <v>1</v>
      </c>
      <c r="CQ214" s="4" t="s">
        <v>1</v>
      </c>
      <c r="CR214" s="4" t="s">
        <v>1</v>
      </c>
      <c r="CS214" s="4" t="s">
        <v>1</v>
      </c>
      <c r="CT214" s="4" t="s">
        <v>1</v>
      </c>
      <c r="CU214" s="4" t="s">
        <v>1</v>
      </c>
      <c r="CV214" t="s">
        <v>855</v>
      </c>
      <c r="CW214">
        <v>100</v>
      </c>
      <c r="CX214">
        <v>0</v>
      </c>
      <c r="CY214">
        <v>30</v>
      </c>
      <c r="CZ214" t="s">
        <v>1358</v>
      </c>
      <c r="DA214" t="s">
        <v>734</v>
      </c>
      <c r="DB214">
        <v>64</v>
      </c>
      <c r="DC214">
        <v>0</v>
      </c>
      <c r="DD214">
        <v>30</v>
      </c>
      <c r="DE214" t="s">
        <v>1358</v>
      </c>
      <c r="DF214" t="s">
        <v>735</v>
      </c>
      <c r="DG214">
        <v>22</v>
      </c>
      <c r="DH214">
        <v>0</v>
      </c>
      <c r="DI214">
        <v>30</v>
      </c>
      <c r="DJ214" t="s">
        <v>1358</v>
      </c>
      <c r="DK214" t="s">
        <v>736</v>
      </c>
      <c r="DL214">
        <v>14</v>
      </c>
      <c r="DM214">
        <v>0</v>
      </c>
      <c r="DN214">
        <v>30</v>
      </c>
      <c r="DO214" t="s">
        <v>1358</v>
      </c>
      <c r="DP214" t="s">
        <v>6</v>
      </c>
      <c r="DQ214" t="s">
        <v>813</v>
      </c>
      <c r="DR214">
        <v>6.4</v>
      </c>
      <c r="DS214">
        <v>0</v>
      </c>
      <c r="DT214">
        <v>30</v>
      </c>
      <c r="DU214" t="s">
        <v>1358</v>
      </c>
      <c r="DV214" t="s">
        <v>980</v>
      </c>
      <c r="DW214">
        <v>28</v>
      </c>
      <c r="DX214">
        <v>0</v>
      </c>
      <c r="DY214">
        <v>30</v>
      </c>
      <c r="DZ214" t="s">
        <v>1358</v>
      </c>
      <c r="EA214" t="s">
        <v>982</v>
      </c>
      <c r="EB214">
        <v>16</v>
      </c>
      <c r="EC214">
        <v>0</v>
      </c>
      <c r="ED214">
        <v>30</v>
      </c>
      <c r="EE214" t="s">
        <v>1358</v>
      </c>
      <c r="EG214" t="s">
        <v>981</v>
      </c>
      <c r="EH214">
        <f t="shared" si="21"/>
        <v>1.4</v>
      </c>
      <c r="EI214">
        <v>0</v>
      </c>
      <c r="EJ214">
        <v>30</v>
      </c>
      <c r="EK214" t="s">
        <v>1358</v>
      </c>
      <c r="EL214" t="s">
        <v>734</v>
      </c>
      <c r="EM214">
        <v>71</v>
      </c>
      <c r="EN214">
        <v>30</v>
      </c>
      <c r="EO214">
        <v>60</v>
      </c>
      <c r="EP214" t="s">
        <v>1358</v>
      </c>
      <c r="EQ214" t="s">
        <v>735</v>
      </c>
      <c r="ER214">
        <v>17</v>
      </c>
      <c r="ES214">
        <v>30</v>
      </c>
      <c r="ET214">
        <v>60</v>
      </c>
      <c r="EU214" t="s">
        <v>1358</v>
      </c>
      <c r="EV214" t="s">
        <v>736</v>
      </c>
      <c r="EW214">
        <v>12</v>
      </c>
      <c r="EX214">
        <v>30</v>
      </c>
      <c r="EY214">
        <v>60</v>
      </c>
      <c r="EZ214" t="s">
        <v>1358</v>
      </c>
      <c r="FA214" t="s">
        <v>980</v>
      </c>
      <c r="FB214">
        <v>25</v>
      </c>
      <c r="FC214">
        <v>30</v>
      </c>
      <c r="FD214">
        <v>60</v>
      </c>
      <c r="FE214" t="s">
        <v>1358</v>
      </c>
      <c r="FF214" t="s">
        <v>734</v>
      </c>
      <c r="FG214">
        <f t="shared" si="22"/>
        <v>67.34</v>
      </c>
      <c r="FH214">
        <v>60</v>
      </c>
      <c r="FI214">
        <v>90</v>
      </c>
      <c r="FJ214" t="s">
        <v>1358</v>
      </c>
      <c r="FK214" t="s">
        <v>735</v>
      </c>
      <c r="FL214">
        <f t="shared" si="23"/>
        <v>20.100000000000001</v>
      </c>
      <c r="FM214">
        <v>60</v>
      </c>
      <c r="FN214">
        <v>90</v>
      </c>
      <c r="FO214" t="s">
        <v>1358</v>
      </c>
      <c r="FP214" t="s">
        <v>736</v>
      </c>
      <c r="FQ214">
        <f t="shared" si="24"/>
        <v>12.56</v>
      </c>
      <c r="FR214">
        <v>60</v>
      </c>
      <c r="FS214">
        <v>90</v>
      </c>
      <c r="FT214" t="s">
        <v>1358</v>
      </c>
      <c r="FU214" t="s">
        <v>980</v>
      </c>
      <c r="FV214">
        <v>25</v>
      </c>
      <c r="FW214">
        <v>60</v>
      </c>
      <c r="FX214">
        <v>90</v>
      </c>
      <c r="FY214" t="s">
        <v>1358</v>
      </c>
      <c r="FZ214" t="s">
        <v>957</v>
      </c>
      <c r="GA214" t="s">
        <v>958</v>
      </c>
      <c r="GB214" t="s">
        <v>959</v>
      </c>
      <c r="GC214" t="s">
        <v>1</v>
      </c>
      <c r="GD214" t="s">
        <v>1</v>
      </c>
      <c r="GE214" s="26" t="s">
        <v>1358</v>
      </c>
      <c r="GF214" t="s">
        <v>957</v>
      </c>
      <c r="GG214" t="s">
        <v>961</v>
      </c>
      <c r="GH214" t="s">
        <v>960</v>
      </c>
      <c r="GI214" s="20">
        <v>1961</v>
      </c>
      <c r="GJ214" s="20">
        <v>1990</v>
      </c>
      <c r="GK214" s="26" t="s">
        <v>1358</v>
      </c>
      <c r="GL214" t="s">
        <v>953</v>
      </c>
      <c r="GM214" t="s">
        <v>955</v>
      </c>
      <c r="GN214" t="s">
        <v>954</v>
      </c>
      <c r="GO214" s="5" t="s">
        <v>956</v>
      </c>
      <c r="GP214" s="5" t="s">
        <v>1382</v>
      </c>
      <c r="GQ214" s="5" t="s">
        <v>962</v>
      </c>
      <c r="GR214" s="5" t="s">
        <v>963</v>
      </c>
      <c r="GS214" s="5" t="s">
        <v>959</v>
      </c>
      <c r="GT214" s="26" t="s">
        <v>1358</v>
      </c>
      <c r="GU214" s="5" t="s">
        <v>962</v>
      </c>
      <c r="GV214" s="5" t="s">
        <v>964</v>
      </c>
      <c r="GW214" s="5" t="s">
        <v>960</v>
      </c>
      <c r="GX214" s="20">
        <v>1961</v>
      </c>
      <c r="GY214" s="20">
        <v>1990</v>
      </c>
      <c r="GZ214" s="26" t="s">
        <v>1358</v>
      </c>
      <c r="HA214" s="5" t="s">
        <v>1</v>
      </c>
      <c r="HB214" s="5" t="s">
        <v>1</v>
      </c>
      <c r="HC214" s="5" t="s">
        <v>1</v>
      </c>
      <c r="HD214" s="5" t="s">
        <v>1</v>
      </c>
      <c r="HE214" t="s">
        <v>1</v>
      </c>
      <c r="HF214" s="5" t="s">
        <v>1</v>
      </c>
      <c r="HG214" s="5" t="s">
        <v>1</v>
      </c>
      <c r="HH214" s="5" t="s">
        <v>1</v>
      </c>
      <c r="HI214" s="5" t="s">
        <v>1</v>
      </c>
      <c r="HJ214" t="s">
        <v>1</v>
      </c>
      <c r="HK214" t="s">
        <v>1</v>
      </c>
      <c r="HL214" t="s">
        <v>1</v>
      </c>
      <c r="HM214" t="s">
        <v>1</v>
      </c>
      <c r="HN214" t="s">
        <v>1</v>
      </c>
      <c r="HO214" t="s">
        <v>1</v>
      </c>
      <c r="HP214" t="s">
        <v>1</v>
      </c>
      <c r="HQ214" t="s">
        <v>983</v>
      </c>
      <c r="HR214" t="s">
        <v>1048</v>
      </c>
      <c r="HS214" s="5" t="s">
        <v>1049</v>
      </c>
      <c r="HT214" s="28" t="s">
        <v>1425</v>
      </c>
      <c r="HU214" s="5" t="s">
        <v>842</v>
      </c>
      <c r="HV214" s="5" t="s">
        <v>1358</v>
      </c>
      <c r="HW214" t="s">
        <v>937</v>
      </c>
      <c r="HX214" s="3" t="s">
        <v>1</v>
      </c>
      <c r="HY214" s="30">
        <v>38978</v>
      </c>
      <c r="HZ214" t="s">
        <v>1295</v>
      </c>
      <c r="IA214">
        <v>100</v>
      </c>
      <c r="IB214" s="10" t="s">
        <v>1</v>
      </c>
      <c r="IC214" s="10">
        <v>15</v>
      </c>
      <c r="ID214" s="10" t="s">
        <v>984</v>
      </c>
      <c r="IE214" s="10" t="s">
        <v>1</v>
      </c>
      <c r="IF214" s="10" t="s">
        <v>1</v>
      </c>
      <c r="IG214" t="s">
        <v>1</v>
      </c>
      <c r="IH214" s="10" t="s">
        <v>1</v>
      </c>
      <c r="II214" s="10" t="s">
        <v>1</v>
      </c>
      <c r="IJ214" s="10" t="s">
        <v>1</v>
      </c>
      <c r="IK214" t="s">
        <v>1</v>
      </c>
      <c r="IL214" s="10" t="s">
        <v>1</v>
      </c>
      <c r="IM214" s="10" t="s">
        <v>1</v>
      </c>
      <c r="IN214" s="10" t="s">
        <v>1</v>
      </c>
      <c r="IO214" s="10" t="s">
        <v>1</v>
      </c>
      <c r="IP214" s="10" t="s">
        <v>1</v>
      </c>
      <c r="IQ214" s="10" t="s">
        <v>1</v>
      </c>
      <c r="IR214" s="10" t="s">
        <v>1</v>
      </c>
      <c r="IS214" t="s">
        <v>1</v>
      </c>
      <c r="IT214" t="s">
        <v>1</v>
      </c>
      <c r="IW214" t="s">
        <v>1</v>
      </c>
      <c r="IX214" t="s">
        <v>1</v>
      </c>
      <c r="IY214" t="s">
        <v>1</v>
      </c>
      <c r="IZ214" t="s">
        <v>1</v>
      </c>
      <c r="JA214" t="s">
        <v>1</v>
      </c>
      <c r="JB214" s="3" t="s">
        <v>1</v>
      </c>
      <c r="JC214" t="s">
        <v>1</v>
      </c>
      <c r="JD214" s="4" t="s">
        <v>1</v>
      </c>
      <c r="JE214" t="s">
        <v>809</v>
      </c>
      <c r="JF214">
        <v>100</v>
      </c>
      <c r="JG214" t="s">
        <v>859</v>
      </c>
      <c r="JH214" t="s">
        <v>1393</v>
      </c>
      <c r="JI214" t="s">
        <v>1</v>
      </c>
      <c r="JJ214" t="s">
        <v>1</v>
      </c>
      <c r="JK214" s="31" t="s">
        <v>1</v>
      </c>
      <c r="JL214" t="s">
        <v>1</v>
      </c>
      <c r="JM214" t="s">
        <v>1</v>
      </c>
      <c r="JN214" t="s">
        <v>1064</v>
      </c>
      <c r="JO214" s="30">
        <v>38978</v>
      </c>
      <c r="JP214" t="s">
        <v>1051</v>
      </c>
      <c r="JQ214" s="32" t="s">
        <v>1060</v>
      </c>
      <c r="JR214" t="s">
        <v>1066</v>
      </c>
      <c r="JS214" t="s">
        <v>1023</v>
      </c>
      <c r="JT214" t="s">
        <v>1014</v>
      </c>
      <c r="JU214" t="s">
        <v>1</v>
      </c>
      <c r="JV214" t="s">
        <v>1424</v>
      </c>
      <c r="JW214" t="s">
        <v>842</v>
      </c>
      <c r="JX214">
        <v>0</v>
      </c>
      <c r="JY214">
        <v>80</v>
      </c>
      <c r="JZ214" t="s">
        <v>800</v>
      </c>
      <c r="KA214" t="s">
        <v>206</v>
      </c>
      <c r="KB214" t="s">
        <v>738</v>
      </c>
      <c r="KC214" t="s">
        <v>1</v>
      </c>
      <c r="KD214" t="s">
        <v>1</v>
      </c>
      <c r="KE214" t="s">
        <v>1</v>
      </c>
      <c r="KF214" t="s">
        <v>1</v>
      </c>
      <c r="KG214" t="s">
        <v>1</v>
      </c>
      <c r="KH214" t="s">
        <v>1</v>
      </c>
      <c r="KI214" t="s">
        <v>1</v>
      </c>
      <c r="KJ214" t="s">
        <v>1</v>
      </c>
      <c r="KK214" t="s">
        <v>1</v>
      </c>
    </row>
    <row r="215" spans="1:297" x14ac:dyDescent="0.2">
      <c r="A215">
        <v>183</v>
      </c>
      <c r="B215" t="s">
        <v>705</v>
      </c>
      <c r="C215" t="s">
        <v>215</v>
      </c>
      <c r="D215" t="s">
        <v>214</v>
      </c>
      <c r="E215">
        <v>30</v>
      </c>
      <c r="F215" t="s">
        <v>1320</v>
      </c>
      <c r="G215" t="s">
        <v>1</v>
      </c>
      <c r="H215" s="26" t="s">
        <v>1420</v>
      </c>
      <c r="I215" t="s">
        <v>1</v>
      </c>
      <c r="J215" t="s">
        <v>1</v>
      </c>
      <c r="K215" t="s">
        <v>1</v>
      </c>
      <c r="L215" t="s">
        <v>1</v>
      </c>
      <c r="M215" t="s">
        <v>1</v>
      </c>
      <c r="N215" t="s">
        <v>1</v>
      </c>
      <c r="O215" t="s">
        <v>1</v>
      </c>
      <c r="P215" t="s">
        <v>1</v>
      </c>
      <c r="Q215" t="s">
        <v>1</v>
      </c>
      <c r="R215" t="s">
        <v>1</v>
      </c>
      <c r="S215" t="s">
        <v>1</v>
      </c>
      <c r="T215" t="s">
        <v>1</v>
      </c>
      <c r="U215" t="s">
        <v>1</v>
      </c>
      <c r="V215" t="s">
        <v>1</v>
      </c>
      <c r="W215" t="s">
        <v>1</v>
      </c>
      <c r="X215" t="s">
        <v>1</v>
      </c>
      <c r="Y215" t="s">
        <v>1</v>
      </c>
      <c r="Z215" t="s">
        <v>1</v>
      </c>
      <c r="AA215" t="s">
        <v>1</v>
      </c>
      <c r="AB215" t="s">
        <v>1</v>
      </c>
      <c r="AC215" t="s">
        <v>1</v>
      </c>
      <c r="AD215" t="s">
        <v>1</v>
      </c>
      <c r="AE215" t="s">
        <v>1</v>
      </c>
      <c r="AF215" t="s">
        <v>1</v>
      </c>
      <c r="AG215" t="s">
        <v>1</v>
      </c>
      <c r="AH215" t="s">
        <v>1</v>
      </c>
      <c r="AI215" t="s">
        <v>1</v>
      </c>
      <c r="AJ215" t="s">
        <v>1</v>
      </c>
      <c r="AK215" t="s">
        <v>1</v>
      </c>
      <c r="AL215" t="s">
        <v>1</v>
      </c>
      <c r="AM215" t="s">
        <v>1</v>
      </c>
      <c r="AN215">
        <v>183</v>
      </c>
      <c r="AO215">
        <f t="shared" si="25"/>
        <v>183</v>
      </c>
      <c r="AP215">
        <f t="shared" si="26"/>
        <v>30</v>
      </c>
      <c r="AQ215">
        <f t="shared" si="27"/>
        <v>30</v>
      </c>
      <c r="AR215" s="26" t="s">
        <v>1355</v>
      </c>
      <c r="AS215" s="26" t="s">
        <v>1356</v>
      </c>
      <c r="AT215" t="s">
        <v>716</v>
      </c>
      <c r="AU215" t="s">
        <v>1</v>
      </c>
      <c r="AV215" t="s">
        <v>1</v>
      </c>
      <c r="AW215">
        <v>54.32</v>
      </c>
      <c r="AX215">
        <v>9.98</v>
      </c>
      <c r="AY215" t="s">
        <v>737</v>
      </c>
      <c r="BA215" s="3">
        <f>2+2</f>
        <v>4</v>
      </c>
      <c r="BB215" s="3"/>
      <c r="BC215" s="3"/>
      <c r="BD215" s="3"/>
      <c r="BE215" s="3"/>
      <c r="BF215">
        <v>1999</v>
      </c>
      <c r="BG215" s="24" t="s">
        <v>733</v>
      </c>
      <c r="BH215" s="24" t="s">
        <v>733</v>
      </c>
      <c r="BI215" s="24" t="s">
        <v>733</v>
      </c>
      <c r="BJ215" s="24" t="s">
        <v>732</v>
      </c>
      <c r="BK215" s="24" t="s">
        <v>733</v>
      </c>
      <c r="BL215" s="25" t="s">
        <v>733</v>
      </c>
      <c r="BM215" s="24" t="s">
        <v>733</v>
      </c>
      <c r="BN215" s="24" t="s">
        <v>732</v>
      </c>
      <c r="BO215" s="24" t="s">
        <v>733</v>
      </c>
      <c r="BP215" s="24" t="s">
        <v>733</v>
      </c>
      <c r="BQ215" s="24" t="s">
        <v>945</v>
      </c>
      <c r="BR215" s="24" t="s">
        <v>945</v>
      </c>
      <c r="BS215" s="25" t="s">
        <v>934</v>
      </c>
      <c r="BT215" s="24" t="s">
        <v>934</v>
      </c>
      <c r="BU215" s="24" t="s">
        <v>934</v>
      </c>
      <c r="BV215" s="24" t="s">
        <v>934</v>
      </c>
      <c r="BW215" s="24" t="s">
        <v>934</v>
      </c>
      <c r="BX215" s="24" t="s">
        <v>934</v>
      </c>
      <c r="BY215" s="25" t="s">
        <v>945</v>
      </c>
      <c r="BZ215" t="s">
        <v>1397</v>
      </c>
      <c r="CB215" t="s">
        <v>1401</v>
      </c>
      <c r="CC215" s="4" t="s">
        <v>1</v>
      </c>
      <c r="CD215" s="4"/>
      <c r="CE215" s="4"/>
      <c r="CF215" t="s">
        <v>1</v>
      </c>
      <c r="CG215" t="s">
        <v>1</v>
      </c>
      <c r="CH215" t="s">
        <v>805</v>
      </c>
      <c r="CI215" s="28">
        <f t="shared" ref="CI215:CI220" si="30">AVERAGE(1.7,1.5,1.5)</f>
        <v>1.5666666666666667</v>
      </c>
      <c r="CJ215" s="10" t="s">
        <v>1442</v>
      </c>
      <c r="CK215" s="9" t="s">
        <v>1</v>
      </c>
      <c r="CL215" s="4" t="s">
        <v>1</v>
      </c>
      <c r="CM215" t="s">
        <v>848</v>
      </c>
      <c r="CN215" s="4">
        <v>98</v>
      </c>
      <c r="CO215" s="4" t="s">
        <v>1</v>
      </c>
      <c r="CP215" s="4" t="s">
        <v>1</v>
      </c>
      <c r="CQ215" s="4" t="s">
        <v>1</v>
      </c>
      <c r="CR215" s="4" t="s">
        <v>1</v>
      </c>
      <c r="CS215" s="4" t="s">
        <v>1</v>
      </c>
      <c r="CT215" s="4" t="s">
        <v>1</v>
      </c>
      <c r="CU215" s="4" t="s">
        <v>1</v>
      </c>
      <c r="CV215" t="s">
        <v>855</v>
      </c>
      <c r="CW215">
        <v>100</v>
      </c>
      <c r="CX215">
        <v>0</v>
      </c>
      <c r="CY215">
        <v>30</v>
      </c>
      <c r="CZ215" s="26" t="s">
        <v>1358</v>
      </c>
      <c r="DA215" t="s">
        <v>734</v>
      </c>
      <c r="DB215">
        <v>59</v>
      </c>
      <c r="DC215">
        <v>0</v>
      </c>
      <c r="DD215">
        <v>30</v>
      </c>
      <c r="DE215" s="26" t="s">
        <v>1358</v>
      </c>
      <c r="DF215" t="s">
        <v>735</v>
      </c>
      <c r="DG215">
        <v>29</v>
      </c>
      <c r="DH215">
        <v>0</v>
      </c>
      <c r="DI215">
        <v>30</v>
      </c>
      <c r="DJ215" s="26" t="s">
        <v>1358</v>
      </c>
      <c r="DK215" t="s">
        <v>736</v>
      </c>
      <c r="DL215">
        <v>12</v>
      </c>
      <c r="DM215">
        <v>0</v>
      </c>
      <c r="DN215">
        <v>30</v>
      </c>
      <c r="DO215" s="26" t="s">
        <v>1358</v>
      </c>
      <c r="DP215" t="s">
        <v>6</v>
      </c>
      <c r="DQ215" t="s">
        <v>1</v>
      </c>
      <c r="DR215">
        <v>6.5</v>
      </c>
      <c r="DS215">
        <v>0</v>
      </c>
      <c r="DT215">
        <v>30</v>
      </c>
      <c r="DU215" s="26" t="s">
        <v>1358</v>
      </c>
      <c r="EA215" t="s">
        <v>982</v>
      </c>
      <c r="EB215">
        <v>13</v>
      </c>
      <c r="EC215">
        <v>0</v>
      </c>
      <c r="ED215">
        <v>30</v>
      </c>
      <c r="EE215" s="26" t="s">
        <v>1358</v>
      </c>
      <c r="EF215" s="26"/>
      <c r="FZ215" t="s">
        <v>806</v>
      </c>
      <c r="GA215">
        <v>754</v>
      </c>
      <c r="GE215" s="26" t="s">
        <v>1358</v>
      </c>
      <c r="HA215" s="5" t="s">
        <v>1</v>
      </c>
      <c r="HB215" s="4" t="s">
        <v>1</v>
      </c>
      <c r="HC215" t="s">
        <v>1</v>
      </c>
      <c r="HD215" t="s">
        <v>1</v>
      </c>
      <c r="HE215" t="s">
        <v>1</v>
      </c>
      <c r="HF215" s="5" t="s">
        <v>1063</v>
      </c>
      <c r="HG215" s="4">
        <v>1.1000000000000003</v>
      </c>
      <c r="HH215">
        <v>0</v>
      </c>
      <c r="HI215">
        <v>30</v>
      </c>
      <c r="HJ215" s="26" t="s">
        <v>1358</v>
      </c>
      <c r="HK215" t="s">
        <v>1</v>
      </c>
      <c r="HL215" t="s">
        <v>1</v>
      </c>
      <c r="HM215" t="s">
        <v>1</v>
      </c>
      <c r="HN215" t="s">
        <v>1</v>
      </c>
      <c r="HO215" t="s">
        <v>1</v>
      </c>
      <c r="HP215" t="s">
        <v>1</v>
      </c>
      <c r="HZ215" t="s">
        <v>968</v>
      </c>
      <c r="IA215">
        <v>115</v>
      </c>
      <c r="IB215" s="10" t="s">
        <v>1</v>
      </c>
      <c r="IC215" s="10"/>
      <c r="ID215" s="10"/>
      <c r="IE215" s="10" t="s">
        <v>1</v>
      </c>
      <c r="IF215" s="10" t="s">
        <v>1</v>
      </c>
      <c r="IG215" s="10"/>
      <c r="IH215" s="10"/>
      <c r="II215" s="10"/>
      <c r="IJ215" s="10"/>
      <c r="IK215" s="10"/>
      <c r="IL215" s="10"/>
      <c r="IM215" s="10"/>
      <c r="IN215" s="10"/>
      <c r="IO215" s="10"/>
      <c r="IP215" s="10"/>
      <c r="IQ215" s="10"/>
      <c r="IR215" s="10"/>
      <c r="IS215" t="s">
        <v>1</v>
      </c>
      <c r="IT215" t="s">
        <v>1</v>
      </c>
      <c r="IW215" t="s">
        <v>1</v>
      </c>
      <c r="IX215" t="s">
        <v>1</v>
      </c>
      <c r="IY215" t="s">
        <v>1</v>
      </c>
      <c r="IZ215" t="s">
        <v>1</v>
      </c>
      <c r="JA215" t="s">
        <v>1</v>
      </c>
      <c r="JB215" s="3" t="s">
        <v>1</v>
      </c>
      <c r="JC215" t="s">
        <v>1</v>
      </c>
      <c r="JD215" s="4" t="s">
        <v>1</v>
      </c>
      <c r="JE215" t="s">
        <v>810</v>
      </c>
      <c r="JF215">
        <v>100</v>
      </c>
      <c r="JR215" t="s">
        <v>1066</v>
      </c>
      <c r="JS215">
        <v>159.4</v>
      </c>
      <c r="JU215" t="s">
        <v>1</v>
      </c>
      <c r="JW215" t="s">
        <v>1</v>
      </c>
      <c r="JX215">
        <v>0</v>
      </c>
      <c r="JY215">
        <v>90</v>
      </c>
      <c r="JZ215" t="s">
        <v>800</v>
      </c>
      <c r="KA215" t="s">
        <v>216</v>
      </c>
      <c r="KB215" t="s">
        <v>738</v>
      </c>
      <c r="KC215" t="s">
        <v>1</v>
      </c>
      <c r="KD215" t="s">
        <v>1</v>
      </c>
      <c r="KE215" t="s">
        <v>1</v>
      </c>
      <c r="KF215" t="s">
        <v>1</v>
      </c>
      <c r="KG215" t="s">
        <v>1</v>
      </c>
      <c r="KH215" t="s">
        <v>1</v>
      </c>
      <c r="KI215" t="s">
        <v>1</v>
      </c>
      <c r="KJ215" t="s">
        <v>1</v>
      </c>
      <c r="KK215" t="s">
        <v>1</v>
      </c>
    </row>
    <row r="216" spans="1:297" x14ac:dyDescent="0.2">
      <c r="A216">
        <v>184</v>
      </c>
      <c r="B216" t="s">
        <v>705</v>
      </c>
      <c r="C216" t="s">
        <v>217</v>
      </c>
      <c r="D216" t="s">
        <v>214</v>
      </c>
      <c r="E216">
        <v>30</v>
      </c>
      <c r="F216" t="s">
        <v>1320</v>
      </c>
      <c r="G216" t="s">
        <v>1</v>
      </c>
      <c r="H216" s="26" t="s">
        <v>1420</v>
      </c>
      <c r="I216" t="s">
        <v>1</v>
      </c>
      <c r="J216" t="s">
        <v>1</v>
      </c>
      <c r="K216" t="s">
        <v>1</v>
      </c>
      <c r="L216" t="s">
        <v>1</v>
      </c>
      <c r="M216" t="s">
        <v>1</v>
      </c>
      <c r="N216" t="s">
        <v>1</v>
      </c>
      <c r="O216" t="s">
        <v>1</v>
      </c>
      <c r="P216" t="s">
        <v>1</v>
      </c>
      <c r="Q216" t="s">
        <v>1</v>
      </c>
      <c r="R216" t="s">
        <v>1</v>
      </c>
      <c r="S216" t="s">
        <v>1</v>
      </c>
      <c r="T216" t="s">
        <v>1</v>
      </c>
      <c r="U216" t="s">
        <v>1</v>
      </c>
      <c r="V216" t="s">
        <v>1</v>
      </c>
      <c r="W216" t="s">
        <v>1</v>
      </c>
      <c r="X216" t="s">
        <v>1</v>
      </c>
      <c r="Y216" t="s">
        <v>1</v>
      </c>
      <c r="Z216" t="s">
        <v>1</v>
      </c>
      <c r="AA216" t="s">
        <v>1</v>
      </c>
      <c r="AB216" t="s">
        <v>1</v>
      </c>
      <c r="AC216" t="s">
        <v>1</v>
      </c>
      <c r="AD216" t="s">
        <v>1</v>
      </c>
      <c r="AE216" t="s">
        <v>1</v>
      </c>
      <c r="AF216" t="s">
        <v>1</v>
      </c>
      <c r="AG216" t="s">
        <v>1</v>
      </c>
      <c r="AH216" t="s">
        <v>1</v>
      </c>
      <c r="AI216" t="s">
        <v>1</v>
      </c>
      <c r="AJ216" t="s">
        <v>1</v>
      </c>
      <c r="AK216" t="s">
        <v>1</v>
      </c>
      <c r="AL216" t="s">
        <v>1</v>
      </c>
      <c r="AM216" t="s">
        <v>1</v>
      </c>
      <c r="AN216">
        <v>184</v>
      </c>
      <c r="AO216">
        <f t="shared" si="25"/>
        <v>184</v>
      </c>
      <c r="AP216">
        <f t="shared" si="26"/>
        <v>30</v>
      </c>
      <c r="AQ216">
        <f t="shared" si="27"/>
        <v>30</v>
      </c>
      <c r="AR216" s="26" t="s">
        <v>1355</v>
      </c>
      <c r="AS216" s="26" t="s">
        <v>1356</v>
      </c>
      <c r="AT216" t="s">
        <v>716</v>
      </c>
      <c r="AU216" t="s">
        <v>1</v>
      </c>
      <c r="AV216" t="s">
        <v>1</v>
      </c>
      <c r="AW216">
        <v>54.32</v>
      </c>
      <c r="AX216">
        <v>9.98</v>
      </c>
      <c r="AY216" t="s">
        <v>737</v>
      </c>
      <c r="BA216" s="3">
        <f>2+2</f>
        <v>4</v>
      </c>
      <c r="BB216" s="3"/>
      <c r="BC216" s="3"/>
      <c r="BD216" s="3"/>
      <c r="BE216" s="3"/>
      <c r="BF216">
        <v>1999</v>
      </c>
      <c r="BG216" s="24" t="s">
        <v>733</v>
      </c>
      <c r="BH216" s="24" t="s">
        <v>733</v>
      </c>
      <c r="BI216" s="24" t="s">
        <v>733</v>
      </c>
      <c r="BJ216" s="24" t="s">
        <v>732</v>
      </c>
      <c r="BK216" s="24" t="s">
        <v>733</v>
      </c>
      <c r="BL216" s="25" t="s">
        <v>733</v>
      </c>
      <c r="BM216" s="24" t="s">
        <v>733</v>
      </c>
      <c r="BN216" s="24" t="s">
        <v>732</v>
      </c>
      <c r="BO216" s="24" t="s">
        <v>733</v>
      </c>
      <c r="BP216" s="24" t="s">
        <v>733</v>
      </c>
      <c r="BQ216" s="24" t="s">
        <v>945</v>
      </c>
      <c r="BR216" s="24" t="s">
        <v>945</v>
      </c>
      <c r="BS216" s="25" t="s">
        <v>934</v>
      </c>
      <c r="BT216" s="24" t="s">
        <v>934</v>
      </c>
      <c r="BU216" s="24" t="s">
        <v>934</v>
      </c>
      <c r="BV216" s="24" t="s">
        <v>934</v>
      </c>
      <c r="BW216" s="24" t="s">
        <v>934</v>
      </c>
      <c r="BX216" s="24" t="s">
        <v>934</v>
      </c>
      <c r="BY216" s="25" t="s">
        <v>945</v>
      </c>
      <c r="BZ216" t="s">
        <v>1397</v>
      </c>
      <c r="CB216" t="s">
        <v>1401</v>
      </c>
      <c r="CC216" s="4" t="s">
        <v>1</v>
      </c>
      <c r="CD216" s="4"/>
      <c r="CE216" s="4"/>
      <c r="CF216" t="s">
        <v>1</v>
      </c>
      <c r="CG216" t="s">
        <v>1</v>
      </c>
      <c r="CH216" t="s">
        <v>805</v>
      </c>
      <c r="CI216" s="28">
        <f t="shared" si="30"/>
        <v>1.5666666666666667</v>
      </c>
      <c r="CJ216" s="10" t="s">
        <v>1442</v>
      </c>
      <c r="CK216" s="9" t="s">
        <v>1</v>
      </c>
      <c r="CL216" s="4" t="s">
        <v>1</v>
      </c>
      <c r="CM216" t="s">
        <v>848</v>
      </c>
      <c r="CN216" s="4">
        <v>108</v>
      </c>
      <c r="CO216" s="4" t="s">
        <v>1</v>
      </c>
      <c r="CP216" s="4" t="s">
        <v>1</v>
      </c>
      <c r="CQ216" s="4" t="s">
        <v>1</v>
      </c>
      <c r="CR216" s="4" t="s">
        <v>1</v>
      </c>
      <c r="CS216" s="4" t="s">
        <v>1</v>
      </c>
      <c r="CT216" s="4" t="s">
        <v>1</v>
      </c>
      <c r="CU216" s="4" t="s">
        <v>1</v>
      </c>
      <c r="CV216" t="s">
        <v>855</v>
      </c>
      <c r="CW216">
        <v>100</v>
      </c>
      <c r="CX216">
        <v>0</v>
      </c>
      <c r="CY216">
        <v>30</v>
      </c>
      <c r="CZ216" s="26" t="s">
        <v>1358</v>
      </c>
      <c r="DA216" t="s">
        <v>734</v>
      </c>
      <c r="DB216">
        <v>59</v>
      </c>
      <c r="DC216">
        <v>0</v>
      </c>
      <c r="DD216">
        <v>30</v>
      </c>
      <c r="DE216" s="26" t="s">
        <v>1358</v>
      </c>
      <c r="DF216" t="s">
        <v>735</v>
      </c>
      <c r="DG216">
        <v>29</v>
      </c>
      <c r="DH216">
        <v>0</v>
      </c>
      <c r="DI216">
        <v>30</v>
      </c>
      <c r="DJ216" s="26" t="s">
        <v>1358</v>
      </c>
      <c r="DK216" t="s">
        <v>736</v>
      </c>
      <c r="DL216">
        <v>12</v>
      </c>
      <c r="DM216">
        <v>0</v>
      </c>
      <c r="DN216">
        <v>30</v>
      </c>
      <c r="DO216" s="26" t="s">
        <v>1358</v>
      </c>
      <c r="DP216" t="s">
        <v>6</v>
      </c>
      <c r="DQ216" t="s">
        <v>1</v>
      </c>
      <c r="DR216">
        <v>6.5</v>
      </c>
      <c r="DS216">
        <v>0</v>
      </c>
      <c r="DT216">
        <v>30</v>
      </c>
      <c r="DU216" s="26" t="s">
        <v>1358</v>
      </c>
      <c r="EA216" t="s">
        <v>982</v>
      </c>
      <c r="EB216">
        <v>13</v>
      </c>
      <c r="EC216">
        <v>0</v>
      </c>
      <c r="ED216">
        <v>30</v>
      </c>
      <c r="EE216" s="26" t="s">
        <v>1358</v>
      </c>
      <c r="EF216" s="26"/>
      <c r="FZ216" t="s">
        <v>806</v>
      </c>
      <c r="GA216">
        <v>754</v>
      </c>
      <c r="GE216" s="26" t="s">
        <v>1358</v>
      </c>
      <c r="HA216" s="5" t="s">
        <v>1</v>
      </c>
      <c r="HB216" s="4" t="s">
        <v>1</v>
      </c>
      <c r="HC216" t="s">
        <v>1</v>
      </c>
      <c r="HD216" t="s">
        <v>1</v>
      </c>
      <c r="HE216" t="s">
        <v>1</v>
      </c>
      <c r="HF216" s="5" t="s">
        <v>1063</v>
      </c>
      <c r="HG216" s="4">
        <v>1.1000000000000003</v>
      </c>
      <c r="HH216">
        <v>0</v>
      </c>
      <c r="HI216">
        <v>30</v>
      </c>
      <c r="HJ216" s="26" t="s">
        <v>1358</v>
      </c>
      <c r="HK216" t="s">
        <v>1</v>
      </c>
      <c r="HL216" t="s">
        <v>1</v>
      </c>
      <c r="HM216" t="s">
        <v>1</v>
      </c>
      <c r="HN216" t="s">
        <v>1</v>
      </c>
      <c r="HO216" t="s">
        <v>1</v>
      </c>
      <c r="HP216" t="s">
        <v>1</v>
      </c>
      <c r="HZ216" t="s">
        <v>968</v>
      </c>
      <c r="IA216">
        <v>119</v>
      </c>
      <c r="IB216" s="10" t="s">
        <v>1</v>
      </c>
      <c r="IC216" s="10"/>
      <c r="ID216" s="10"/>
      <c r="IE216" s="10" t="s">
        <v>1</v>
      </c>
      <c r="IF216" s="10" t="s">
        <v>1</v>
      </c>
      <c r="IG216" s="10"/>
      <c r="IH216" s="10"/>
      <c r="II216" s="10"/>
      <c r="IJ216" s="10"/>
      <c r="IK216" s="10"/>
      <c r="IL216" s="10"/>
      <c r="IM216" s="10"/>
      <c r="IN216" s="10"/>
      <c r="IO216" s="10"/>
      <c r="IP216" s="10"/>
      <c r="IQ216" s="10"/>
      <c r="IR216" s="10"/>
      <c r="IS216" t="s">
        <v>1</v>
      </c>
      <c r="IT216" t="s">
        <v>1</v>
      </c>
      <c r="IW216" t="s">
        <v>979</v>
      </c>
      <c r="IX216">
        <v>80</v>
      </c>
      <c r="IY216" t="s">
        <v>1</v>
      </c>
      <c r="IZ216" t="s">
        <v>1</v>
      </c>
      <c r="JA216" t="s">
        <v>1</v>
      </c>
      <c r="JB216" s="3" t="s">
        <v>1</v>
      </c>
      <c r="JC216" t="s">
        <v>1</v>
      </c>
      <c r="JD216" s="4" t="s">
        <v>1</v>
      </c>
      <c r="JE216" t="s">
        <v>810</v>
      </c>
      <c r="JF216">
        <v>100</v>
      </c>
      <c r="JR216" t="s">
        <v>1066</v>
      </c>
      <c r="JS216">
        <v>256.7</v>
      </c>
      <c r="JU216" t="s">
        <v>1</v>
      </c>
      <c r="JW216" t="s">
        <v>1</v>
      </c>
      <c r="JX216">
        <v>0</v>
      </c>
      <c r="JY216">
        <v>90</v>
      </c>
      <c r="JZ216" t="s">
        <v>800</v>
      </c>
      <c r="KA216" t="s">
        <v>216</v>
      </c>
      <c r="KB216" t="s">
        <v>738</v>
      </c>
      <c r="KC216" t="s">
        <v>1</v>
      </c>
      <c r="KD216" t="s">
        <v>1</v>
      </c>
      <c r="KE216" t="s">
        <v>1</v>
      </c>
      <c r="KF216" t="s">
        <v>1</v>
      </c>
      <c r="KG216" t="s">
        <v>1</v>
      </c>
      <c r="KH216" t="s">
        <v>1</v>
      </c>
      <c r="KI216" t="s">
        <v>1</v>
      </c>
      <c r="KJ216" t="s">
        <v>1</v>
      </c>
      <c r="KK216" t="s">
        <v>1</v>
      </c>
    </row>
    <row r="217" spans="1:297" x14ac:dyDescent="0.2">
      <c r="A217">
        <v>185</v>
      </c>
      <c r="B217" t="s">
        <v>705</v>
      </c>
      <c r="C217" t="s">
        <v>218</v>
      </c>
      <c r="D217" t="s">
        <v>214</v>
      </c>
      <c r="E217">
        <v>30</v>
      </c>
      <c r="F217" t="s">
        <v>1320</v>
      </c>
      <c r="G217" t="s">
        <v>1</v>
      </c>
      <c r="H217" s="26" t="s">
        <v>1420</v>
      </c>
      <c r="I217" t="s">
        <v>1</v>
      </c>
      <c r="J217" t="s">
        <v>1</v>
      </c>
      <c r="K217" t="s">
        <v>1</v>
      </c>
      <c r="L217" t="s">
        <v>1</v>
      </c>
      <c r="M217" t="s">
        <v>1</v>
      </c>
      <c r="N217" t="s">
        <v>1</v>
      </c>
      <c r="O217" t="s">
        <v>1</v>
      </c>
      <c r="P217" t="s">
        <v>1</v>
      </c>
      <c r="Q217" t="s">
        <v>1</v>
      </c>
      <c r="R217" t="s">
        <v>1</v>
      </c>
      <c r="S217" t="s">
        <v>1</v>
      </c>
      <c r="T217" t="s">
        <v>1</v>
      </c>
      <c r="U217" t="s">
        <v>1</v>
      </c>
      <c r="V217" t="s">
        <v>1</v>
      </c>
      <c r="W217" t="s">
        <v>1</v>
      </c>
      <c r="X217" t="s">
        <v>1</v>
      </c>
      <c r="Y217" t="s">
        <v>1</v>
      </c>
      <c r="Z217" t="s">
        <v>1</v>
      </c>
      <c r="AA217" t="s">
        <v>1</v>
      </c>
      <c r="AB217" t="s">
        <v>1</v>
      </c>
      <c r="AC217" t="s">
        <v>1</v>
      </c>
      <c r="AD217" t="s">
        <v>1</v>
      </c>
      <c r="AE217" t="s">
        <v>1</v>
      </c>
      <c r="AF217" t="s">
        <v>1</v>
      </c>
      <c r="AG217" t="s">
        <v>1</v>
      </c>
      <c r="AH217" t="s">
        <v>1</v>
      </c>
      <c r="AI217" t="s">
        <v>1</v>
      </c>
      <c r="AJ217" t="s">
        <v>1</v>
      </c>
      <c r="AK217" t="s">
        <v>1</v>
      </c>
      <c r="AL217" t="s">
        <v>1</v>
      </c>
      <c r="AM217" t="s">
        <v>1</v>
      </c>
      <c r="AN217">
        <v>185</v>
      </c>
      <c r="AO217">
        <f t="shared" si="25"/>
        <v>185</v>
      </c>
      <c r="AP217">
        <f t="shared" si="26"/>
        <v>30</v>
      </c>
      <c r="AQ217">
        <f t="shared" si="27"/>
        <v>30</v>
      </c>
      <c r="AR217" s="26" t="s">
        <v>1355</v>
      </c>
      <c r="AS217" s="26" t="s">
        <v>1356</v>
      </c>
      <c r="AT217" t="s">
        <v>716</v>
      </c>
      <c r="AU217" t="s">
        <v>1</v>
      </c>
      <c r="AV217" t="s">
        <v>1</v>
      </c>
      <c r="AW217">
        <v>54.32</v>
      </c>
      <c r="AX217">
        <v>9.98</v>
      </c>
      <c r="AY217" t="s">
        <v>737</v>
      </c>
      <c r="BA217" s="3">
        <f>2+2</f>
        <v>4</v>
      </c>
      <c r="BB217" s="3"/>
      <c r="BC217" s="3"/>
      <c r="BD217" s="3"/>
      <c r="BE217" s="3"/>
      <c r="BF217">
        <v>1999</v>
      </c>
      <c r="BG217" s="24" t="s">
        <v>733</v>
      </c>
      <c r="BH217" s="24" t="s">
        <v>733</v>
      </c>
      <c r="BI217" s="24" t="s">
        <v>733</v>
      </c>
      <c r="BJ217" s="24" t="s">
        <v>732</v>
      </c>
      <c r="BK217" s="24" t="s">
        <v>733</v>
      </c>
      <c r="BL217" s="25" t="s">
        <v>733</v>
      </c>
      <c r="BM217" s="24" t="s">
        <v>733</v>
      </c>
      <c r="BN217" s="24" t="s">
        <v>732</v>
      </c>
      <c r="BO217" s="24" t="s">
        <v>733</v>
      </c>
      <c r="BP217" s="24" t="s">
        <v>733</v>
      </c>
      <c r="BQ217" s="24" t="s">
        <v>945</v>
      </c>
      <c r="BR217" s="24" t="s">
        <v>945</v>
      </c>
      <c r="BS217" s="25" t="s">
        <v>934</v>
      </c>
      <c r="BT217" s="24" t="s">
        <v>934</v>
      </c>
      <c r="BU217" s="24" t="s">
        <v>934</v>
      </c>
      <c r="BV217" s="24" t="s">
        <v>934</v>
      </c>
      <c r="BW217" s="24" t="s">
        <v>934</v>
      </c>
      <c r="BX217" s="24" t="s">
        <v>934</v>
      </c>
      <c r="BY217" s="25" t="s">
        <v>945</v>
      </c>
      <c r="BZ217" t="s">
        <v>1397</v>
      </c>
      <c r="CB217" t="s">
        <v>1401</v>
      </c>
      <c r="CC217" s="4" t="s">
        <v>1</v>
      </c>
      <c r="CD217" s="4"/>
      <c r="CE217" s="4"/>
      <c r="CF217" t="s">
        <v>1</v>
      </c>
      <c r="CG217" t="s">
        <v>1</v>
      </c>
      <c r="CH217" t="s">
        <v>805</v>
      </c>
      <c r="CI217" s="28">
        <f t="shared" si="30"/>
        <v>1.5666666666666667</v>
      </c>
      <c r="CJ217" s="10" t="s">
        <v>1442</v>
      </c>
      <c r="CK217" s="9" t="s">
        <v>1</v>
      </c>
      <c r="CL217" s="4" t="s">
        <v>1</v>
      </c>
      <c r="CM217" t="s">
        <v>848</v>
      </c>
      <c r="CN217" s="4">
        <v>122</v>
      </c>
      <c r="CO217" s="4" t="s">
        <v>1</v>
      </c>
      <c r="CP217" s="4" t="s">
        <v>1</v>
      </c>
      <c r="CQ217" s="4" t="s">
        <v>1</v>
      </c>
      <c r="CR217" s="4" t="s">
        <v>1</v>
      </c>
      <c r="CS217" s="4" t="s">
        <v>1</v>
      </c>
      <c r="CT217" s="4" t="s">
        <v>1</v>
      </c>
      <c r="CU217" s="4" t="s">
        <v>1</v>
      </c>
      <c r="CV217" t="s">
        <v>855</v>
      </c>
      <c r="CW217">
        <v>100</v>
      </c>
      <c r="CX217">
        <v>0</v>
      </c>
      <c r="CY217">
        <v>30</v>
      </c>
      <c r="CZ217" s="26" t="s">
        <v>1358</v>
      </c>
      <c r="DA217" t="s">
        <v>734</v>
      </c>
      <c r="DB217">
        <v>59</v>
      </c>
      <c r="DC217">
        <v>0</v>
      </c>
      <c r="DD217">
        <v>30</v>
      </c>
      <c r="DE217" s="26" t="s">
        <v>1358</v>
      </c>
      <c r="DF217" t="s">
        <v>735</v>
      </c>
      <c r="DG217">
        <v>29</v>
      </c>
      <c r="DH217">
        <v>0</v>
      </c>
      <c r="DI217">
        <v>30</v>
      </c>
      <c r="DJ217" s="26" t="s">
        <v>1358</v>
      </c>
      <c r="DK217" t="s">
        <v>736</v>
      </c>
      <c r="DL217">
        <v>12</v>
      </c>
      <c r="DM217">
        <v>0</v>
      </c>
      <c r="DN217">
        <v>30</v>
      </c>
      <c r="DO217" s="26" t="s">
        <v>1358</v>
      </c>
      <c r="DP217" t="s">
        <v>6</v>
      </c>
      <c r="DQ217" t="s">
        <v>1</v>
      </c>
      <c r="DR217">
        <v>6.5</v>
      </c>
      <c r="DS217">
        <v>0</v>
      </c>
      <c r="DT217">
        <v>30</v>
      </c>
      <c r="DU217" s="26" t="s">
        <v>1358</v>
      </c>
      <c r="EA217" t="s">
        <v>982</v>
      </c>
      <c r="EB217">
        <v>13</v>
      </c>
      <c r="EC217">
        <v>0</v>
      </c>
      <c r="ED217">
        <v>30</v>
      </c>
      <c r="EE217" s="26" t="s">
        <v>1358</v>
      </c>
      <c r="EF217" s="26"/>
      <c r="FZ217" t="s">
        <v>806</v>
      </c>
      <c r="GA217">
        <v>754</v>
      </c>
      <c r="GE217" s="26" t="s">
        <v>1358</v>
      </c>
      <c r="HA217" s="5" t="s">
        <v>1</v>
      </c>
      <c r="HB217" s="4" t="s">
        <v>1</v>
      </c>
      <c r="HC217" t="s">
        <v>1</v>
      </c>
      <c r="HD217" t="s">
        <v>1</v>
      </c>
      <c r="HE217" t="s">
        <v>1</v>
      </c>
      <c r="HF217" s="5" t="s">
        <v>1063</v>
      </c>
      <c r="HG217" s="4">
        <v>1.1000000000000003</v>
      </c>
      <c r="HH217">
        <v>0</v>
      </c>
      <c r="HI217">
        <v>30</v>
      </c>
      <c r="HJ217" s="26" t="s">
        <v>1358</v>
      </c>
      <c r="HK217" t="s">
        <v>1</v>
      </c>
      <c r="HL217" t="s">
        <v>1</v>
      </c>
      <c r="HM217" t="s">
        <v>1</v>
      </c>
      <c r="HN217" t="s">
        <v>1</v>
      </c>
      <c r="HO217" t="s">
        <v>1</v>
      </c>
      <c r="HP217" t="s">
        <v>1</v>
      </c>
      <c r="HZ217" t="s">
        <v>968</v>
      </c>
      <c r="IA217">
        <v>103</v>
      </c>
      <c r="IB217" s="10" t="s">
        <v>1</v>
      </c>
      <c r="IC217" s="10"/>
      <c r="ID217" s="10"/>
      <c r="IE217" s="10" t="s">
        <v>1</v>
      </c>
      <c r="IF217" s="10" t="s">
        <v>1</v>
      </c>
      <c r="IG217" s="10"/>
      <c r="IH217" s="10"/>
      <c r="II217" s="10"/>
      <c r="IJ217" s="10"/>
      <c r="IK217" s="10"/>
      <c r="IL217" s="10"/>
      <c r="IM217" s="10"/>
      <c r="IN217" s="10"/>
      <c r="IO217" s="10"/>
      <c r="IP217" s="10"/>
      <c r="IQ217" s="10"/>
      <c r="IR217" s="10"/>
      <c r="IS217" t="s">
        <v>1</v>
      </c>
      <c r="IT217" t="s">
        <v>1</v>
      </c>
      <c r="IW217" t="s">
        <v>979</v>
      </c>
      <c r="IX217">
        <v>160</v>
      </c>
      <c r="IY217" t="s">
        <v>1</v>
      </c>
      <c r="IZ217" t="s">
        <v>1</v>
      </c>
      <c r="JA217" t="s">
        <v>1</v>
      </c>
      <c r="JB217" s="3" t="s">
        <v>1</v>
      </c>
      <c r="JC217" t="s">
        <v>1</v>
      </c>
      <c r="JD217" s="4" t="s">
        <v>1</v>
      </c>
      <c r="JE217" t="s">
        <v>810</v>
      </c>
      <c r="JF217">
        <v>100</v>
      </c>
      <c r="JR217" t="s">
        <v>1066</v>
      </c>
      <c r="JS217">
        <v>314.3</v>
      </c>
      <c r="JU217" t="s">
        <v>1</v>
      </c>
      <c r="JW217" t="s">
        <v>1</v>
      </c>
      <c r="JX217">
        <v>0</v>
      </c>
      <c r="JY217">
        <v>90</v>
      </c>
      <c r="JZ217" t="s">
        <v>800</v>
      </c>
      <c r="KA217" t="s">
        <v>216</v>
      </c>
      <c r="KB217" t="s">
        <v>738</v>
      </c>
      <c r="KC217" t="s">
        <v>1</v>
      </c>
      <c r="KD217" t="s">
        <v>1</v>
      </c>
      <c r="KE217" t="s">
        <v>1</v>
      </c>
      <c r="KF217" t="s">
        <v>1</v>
      </c>
      <c r="KG217" t="s">
        <v>1</v>
      </c>
      <c r="KH217" t="s">
        <v>1</v>
      </c>
      <c r="KI217" t="s">
        <v>1</v>
      </c>
      <c r="KJ217" t="s">
        <v>1</v>
      </c>
      <c r="KK217" t="s">
        <v>1</v>
      </c>
    </row>
    <row r="218" spans="1:297" x14ac:dyDescent="0.2">
      <c r="A218">
        <v>186</v>
      </c>
      <c r="B218" t="s">
        <v>705</v>
      </c>
      <c r="C218" t="s">
        <v>219</v>
      </c>
      <c r="D218" t="s">
        <v>214</v>
      </c>
      <c r="E218">
        <v>30</v>
      </c>
      <c r="F218" t="s">
        <v>1320</v>
      </c>
      <c r="G218" t="s">
        <v>1</v>
      </c>
      <c r="H218" s="26" t="s">
        <v>1420</v>
      </c>
      <c r="I218" t="s">
        <v>1</v>
      </c>
      <c r="J218" t="s">
        <v>1</v>
      </c>
      <c r="K218" t="s">
        <v>1</v>
      </c>
      <c r="L218" t="s">
        <v>1</v>
      </c>
      <c r="M218" t="s">
        <v>1</v>
      </c>
      <c r="N218" t="s">
        <v>1</v>
      </c>
      <c r="O218" t="s">
        <v>1</v>
      </c>
      <c r="P218" t="s">
        <v>1</v>
      </c>
      <c r="Q218" t="s">
        <v>1</v>
      </c>
      <c r="R218" t="s">
        <v>1</v>
      </c>
      <c r="S218" t="s">
        <v>1</v>
      </c>
      <c r="T218" t="s">
        <v>1</v>
      </c>
      <c r="U218" t="s">
        <v>1</v>
      </c>
      <c r="V218" t="s">
        <v>1</v>
      </c>
      <c r="W218" t="s">
        <v>1</v>
      </c>
      <c r="X218" t="s">
        <v>1</v>
      </c>
      <c r="Y218" t="s">
        <v>1</v>
      </c>
      <c r="Z218" t="s">
        <v>1</v>
      </c>
      <c r="AA218" t="s">
        <v>1</v>
      </c>
      <c r="AB218" t="s">
        <v>1</v>
      </c>
      <c r="AC218" t="s">
        <v>1</v>
      </c>
      <c r="AD218" t="s">
        <v>1</v>
      </c>
      <c r="AE218" t="s">
        <v>1</v>
      </c>
      <c r="AF218" t="s">
        <v>1</v>
      </c>
      <c r="AG218" t="s">
        <v>1</v>
      </c>
      <c r="AH218" t="s">
        <v>1</v>
      </c>
      <c r="AI218" t="s">
        <v>1</v>
      </c>
      <c r="AJ218" t="s">
        <v>1</v>
      </c>
      <c r="AK218" t="s">
        <v>1</v>
      </c>
      <c r="AL218" t="s">
        <v>1</v>
      </c>
      <c r="AM218" t="s">
        <v>1</v>
      </c>
      <c r="AN218">
        <v>186</v>
      </c>
      <c r="AO218">
        <f t="shared" si="25"/>
        <v>186</v>
      </c>
      <c r="AP218">
        <f t="shared" si="26"/>
        <v>30</v>
      </c>
      <c r="AQ218">
        <f t="shared" si="27"/>
        <v>30</v>
      </c>
      <c r="AR218" s="26" t="s">
        <v>1355</v>
      </c>
      <c r="AS218" s="26" t="s">
        <v>1356</v>
      </c>
      <c r="AT218" t="s">
        <v>716</v>
      </c>
      <c r="AU218" t="s">
        <v>1</v>
      </c>
      <c r="AV218" t="s">
        <v>1</v>
      </c>
      <c r="AW218">
        <v>54.32</v>
      </c>
      <c r="AX218">
        <v>9.98</v>
      </c>
      <c r="AY218" t="s">
        <v>737</v>
      </c>
      <c r="BA218" s="3">
        <f>2+2+3</f>
        <v>7</v>
      </c>
      <c r="BB218" s="3"/>
      <c r="BC218" s="3"/>
      <c r="BD218" s="3"/>
      <c r="BE218" s="3"/>
      <c r="BF218">
        <v>1999</v>
      </c>
      <c r="BG218" s="24" t="s">
        <v>733</v>
      </c>
      <c r="BH218" s="24" t="s">
        <v>733</v>
      </c>
      <c r="BI218" s="24" t="s">
        <v>733</v>
      </c>
      <c r="BJ218" s="24" t="s">
        <v>732</v>
      </c>
      <c r="BK218" s="24" t="s">
        <v>733</v>
      </c>
      <c r="BL218" s="25" t="s">
        <v>733</v>
      </c>
      <c r="BM218" s="24" t="s">
        <v>733</v>
      </c>
      <c r="BN218" s="24" t="s">
        <v>732</v>
      </c>
      <c r="BO218" s="24" t="s">
        <v>733</v>
      </c>
      <c r="BP218" s="24" t="s">
        <v>733</v>
      </c>
      <c r="BQ218" s="24" t="s">
        <v>945</v>
      </c>
      <c r="BR218" s="24" t="s">
        <v>945</v>
      </c>
      <c r="BS218" s="25" t="s">
        <v>934</v>
      </c>
      <c r="BT218" s="24" t="s">
        <v>934</v>
      </c>
      <c r="BU218" s="24" t="s">
        <v>934</v>
      </c>
      <c r="BV218" s="24" t="s">
        <v>934</v>
      </c>
      <c r="BW218" s="24" t="s">
        <v>934</v>
      </c>
      <c r="BX218" s="24" t="s">
        <v>934</v>
      </c>
      <c r="BY218" s="25" t="s">
        <v>945</v>
      </c>
      <c r="BZ218" t="s">
        <v>1397</v>
      </c>
      <c r="CB218" t="s">
        <v>1401</v>
      </c>
      <c r="CC218" s="4" t="s">
        <v>1</v>
      </c>
      <c r="CD218" s="4"/>
      <c r="CE218" s="4"/>
      <c r="CF218" t="s">
        <v>1</v>
      </c>
      <c r="CG218" t="s">
        <v>1</v>
      </c>
      <c r="CH218" t="s">
        <v>805</v>
      </c>
      <c r="CI218" s="28">
        <f t="shared" si="30"/>
        <v>1.5666666666666667</v>
      </c>
      <c r="CJ218" s="10" t="s">
        <v>1442</v>
      </c>
      <c r="CK218" s="9" t="s">
        <v>1</v>
      </c>
      <c r="CL218" s="4" t="s">
        <v>1</v>
      </c>
      <c r="CM218" t="s">
        <v>848</v>
      </c>
      <c r="CN218" s="4">
        <v>67</v>
      </c>
      <c r="CO218" s="4" t="s">
        <v>1</v>
      </c>
      <c r="CP218" s="4" t="s">
        <v>1</v>
      </c>
      <c r="CQ218" s="4" t="s">
        <v>1</v>
      </c>
      <c r="CR218" s="4" t="s">
        <v>1</v>
      </c>
      <c r="CS218" s="4" t="s">
        <v>1</v>
      </c>
      <c r="CT218" s="4" t="s">
        <v>1</v>
      </c>
      <c r="CU218" s="4" t="s">
        <v>1</v>
      </c>
      <c r="CV218" t="s">
        <v>855</v>
      </c>
      <c r="CW218">
        <v>100</v>
      </c>
      <c r="CX218">
        <v>0</v>
      </c>
      <c r="CY218">
        <v>30</v>
      </c>
      <c r="CZ218" s="26" t="s">
        <v>1358</v>
      </c>
      <c r="DA218" t="s">
        <v>734</v>
      </c>
      <c r="DB218">
        <v>59</v>
      </c>
      <c r="DC218">
        <v>0</v>
      </c>
      <c r="DD218">
        <v>30</v>
      </c>
      <c r="DE218" s="26" t="s">
        <v>1358</v>
      </c>
      <c r="DF218" t="s">
        <v>735</v>
      </c>
      <c r="DG218">
        <v>29</v>
      </c>
      <c r="DH218">
        <v>0</v>
      </c>
      <c r="DI218">
        <v>30</v>
      </c>
      <c r="DJ218" s="26" t="s">
        <v>1358</v>
      </c>
      <c r="DK218" t="s">
        <v>736</v>
      </c>
      <c r="DL218">
        <v>12</v>
      </c>
      <c r="DM218">
        <v>0</v>
      </c>
      <c r="DN218">
        <v>30</v>
      </c>
      <c r="DO218" s="26" t="s">
        <v>1358</v>
      </c>
      <c r="DP218" t="s">
        <v>6</v>
      </c>
      <c r="DQ218" t="s">
        <v>1</v>
      </c>
      <c r="DR218">
        <v>6.5</v>
      </c>
      <c r="DS218">
        <v>0</v>
      </c>
      <c r="DT218">
        <v>30</v>
      </c>
      <c r="DU218" s="26" t="s">
        <v>1358</v>
      </c>
      <c r="EA218" t="s">
        <v>982</v>
      </c>
      <c r="EB218">
        <v>13</v>
      </c>
      <c r="EC218">
        <v>0</v>
      </c>
      <c r="ED218">
        <v>30</v>
      </c>
      <c r="EE218" s="26" t="s">
        <v>1358</v>
      </c>
      <c r="EF218" s="26"/>
      <c r="FZ218" t="s">
        <v>806</v>
      </c>
      <c r="GA218">
        <v>754</v>
      </c>
      <c r="GE218" s="26" t="s">
        <v>1358</v>
      </c>
      <c r="HA218" s="5" t="s">
        <v>1</v>
      </c>
      <c r="HB218" s="4" t="s">
        <v>1</v>
      </c>
      <c r="HC218" t="s">
        <v>1</v>
      </c>
      <c r="HD218" t="s">
        <v>1</v>
      </c>
      <c r="HE218" t="s">
        <v>1</v>
      </c>
      <c r="HF218" s="5" t="s">
        <v>1063</v>
      </c>
      <c r="HG218" s="4">
        <v>1.1000000000000003</v>
      </c>
      <c r="HH218">
        <v>0</v>
      </c>
      <c r="HI218">
        <v>30</v>
      </c>
      <c r="HJ218" s="26" t="s">
        <v>1358</v>
      </c>
      <c r="HK218" t="s">
        <v>1</v>
      </c>
      <c r="HL218" t="s">
        <v>1</v>
      </c>
      <c r="HM218" t="s">
        <v>1</v>
      </c>
      <c r="HN218" t="s">
        <v>1</v>
      </c>
      <c r="HO218" t="s">
        <v>1</v>
      </c>
      <c r="HP218" t="s">
        <v>1</v>
      </c>
      <c r="HZ218" t="s">
        <v>1</v>
      </c>
      <c r="IA218" t="s">
        <v>1</v>
      </c>
      <c r="IB218" s="10" t="s">
        <v>1</v>
      </c>
      <c r="IC218" s="10"/>
      <c r="ID218" s="10"/>
      <c r="IE218" s="10" t="s">
        <v>1</v>
      </c>
      <c r="IF218" s="10" t="s">
        <v>1</v>
      </c>
      <c r="IG218" s="10"/>
      <c r="IH218" s="10"/>
      <c r="II218" s="10"/>
      <c r="IJ218" s="10"/>
      <c r="IK218" s="10"/>
      <c r="IL218" s="10"/>
      <c r="IM218" s="10"/>
      <c r="IN218" s="10"/>
      <c r="IO218" s="10"/>
      <c r="IP218" s="10"/>
      <c r="IQ218" s="10"/>
      <c r="IR218" s="10"/>
      <c r="IS218" t="s">
        <v>1</v>
      </c>
      <c r="IT218" t="s">
        <v>1</v>
      </c>
      <c r="IW218" t="s">
        <v>979</v>
      </c>
      <c r="IX218">
        <v>80</v>
      </c>
      <c r="IY218" t="s">
        <v>1</v>
      </c>
      <c r="IZ218" t="s">
        <v>1</v>
      </c>
      <c r="JA218" t="s">
        <v>1</v>
      </c>
      <c r="JB218" s="3" t="s">
        <v>1</v>
      </c>
      <c r="JC218" t="s">
        <v>1</v>
      </c>
      <c r="JD218" s="4" t="s">
        <v>1</v>
      </c>
      <c r="JE218" t="s">
        <v>810</v>
      </c>
      <c r="JF218">
        <v>100</v>
      </c>
      <c r="JR218" t="s">
        <v>1066</v>
      </c>
      <c r="JS218">
        <v>181.5</v>
      </c>
      <c r="JU218" t="s">
        <v>1</v>
      </c>
      <c r="JW218" t="s">
        <v>1</v>
      </c>
      <c r="JX218">
        <v>0</v>
      </c>
      <c r="JY218">
        <v>90</v>
      </c>
      <c r="JZ218" t="s">
        <v>800</v>
      </c>
      <c r="KA218" t="s">
        <v>216</v>
      </c>
      <c r="KB218" t="s">
        <v>738</v>
      </c>
      <c r="KC218" t="s">
        <v>1</v>
      </c>
      <c r="KD218" t="s">
        <v>1</v>
      </c>
      <c r="KE218" t="s">
        <v>1</v>
      </c>
      <c r="KF218" t="s">
        <v>1</v>
      </c>
      <c r="KG218" t="s">
        <v>1</v>
      </c>
      <c r="KH218" t="s">
        <v>1</v>
      </c>
      <c r="KI218" t="s">
        <v>1</v>
      </c>
      <c r="KJ218" t="s">
        <v>1</v>
      </c>
      <c r="KK218" t="s">
        <v>1</v>
      </c>
    </row>
    <row r="219" spans="1:297" x14ac:dyDescent="0.2">
      <c r="A219">
        <v>187</v>
      </c>
      <c r="B219" t="s">
        <v>705</v>
      </c>
      <c r="C219" t="s">
        <v>220</v>
      </c>
      <c r="D219" t="s">
        <v>214</v>
      </c>
      <c r="E219">
        <v>30</v>
      </c>
      <c r="F219" t="s">
        <v>1320</v>
      </c>
      <c r="G219" t="s">
        <v>1</v>
      </c>
      <c r="H219" s="26" t="s">
        <v>1420</v>
      </c>
      <c r="I219" t="s">
        <v>1</v>
      </c>
      <c r="J219" t="s">
        <v>1</v>
      </c>
      <c r="K219" t="s">
        <v>1</v>
      </c>
      <c r="L219" t="s">
        <v>1</v>
      </c>
      <c r="M219" t="s">
        <v>1</v>
      </c>
      <c r="N219" t="s">
        <v>1</v>
      </c>
      <c r="O219" t="s">
        <v>1</v>
      </c>
      <c r="P219" t="s">
        <v>1</v>
      </c>
      <c r="Q219" t="s">
        <v>1</v>
      </c>
      <c r="R219" t="s">
        <v>1</v>
      </c>
      <c r="S219" t="s">
        <v>1</v>
      </c>
      <c r="T219" t="s">
        <v>1</v>
      </c>
      <c r="U219" t="s">
        <v>1</v>
      </c>
      <c r="V219" t="s">
        <v>1</v>
      </c>
      <c r="W219" t="s">
        <v>1</v>
      </c>
      <c r="X219" t="s">
        <v>1</v>
      </c>
      <c r="Y219" t="s">
        <v>1</v>
      </c>
      <c r="Z219" t="s">
        <v>1</v>
      </c>
      <c r="AA219" t="s">
        <v>1</v>
      </c>
      <c r="AB219" t="s">
        <v>1</v>
      </c>
      <c r="AC219" t="s">
        <v>1</v>
      </c>
      <c r="AD219" t="s">
        <v>1</v>
      </c>
      <c r="AE219" t="s">
        <v>1</v>
      </c>
      <c r="AF219" t="s">
        <v>1</v>
      </c>
      <c r="AG219" t="s">
        <v>1</v>
      </c>
      <c r="AH219" t="s">
        <v>1</v>
      </c>
      <c r="AI219" t="s">
        <v>1</v>
      </c>
      <c r="AJ219" t="s">
        <v>1</v>
      </c>
      <c r="AK219" t="s">
        <v>1</v>
      </c>
      <c r="AL219" t="s">
        <v>1</v>
      </c>
      <c r="AM219" t="s">
        <v>1</v>
      </c>
      <c r="AN219">
        <v>187</v>
      </c>
      <c r="AO219">
        <f t="shared" si="25"/>
        <v>187</v>
      </c>
      <c r="AP219">
        <f t="shared" si="26"/>
        <v>30</v>
      </c>
      <c r="AQ219">
        <f t="shared" si="27"/>
        <v>30</v>
      </c>
      <c r="AR219" s="26" t="s">
        <v>1355</v>
      </c>
      <c r="AS219" s="26" t="s">
        <v>1356</v>
      </c>
      <c r="AT219" t="s">
        <v>716</v>
      </c>
      <c r="AU219" t="s">
        <v>1</v>
      </c>
      <c r="AV219" t="s">
        <v>1</v>
      </c>
      <c r="AW219">
        <v>54.32</v>
      </c>
      <c r="AX219">
        <v>9.98</v>
      </c>
      <c r="AY219" t="s">
        <v>737</v>
      </c>
      <c r="BA219" s="3">
        <f>2+2+3</f>
        <v>7</v>
      </c>
      <c r="BB219" s="3"/>
      <c r="BC219" s="3"/>
      <c r="BD219" s="3"/>
      <c r="BE219" s="3"/>
      <c r="BF219">
        <v>1999</v>
      </c>
      <c r="BG219" s="24" t="s">
        <v>733</v>
      </c>
      <c r="BH219" s="24" t="s">
        <v>733</v>
      </c>
      <c r="BI219" s="24" t="s">
        <v>733</v>
      </c>
      <c r="BJ219" s="24" t="s">
        <v>732</v>
      </c>
      <c r="BK219" s="24" t="s">
        <v>733</v>
      </c>
      <c r="BL219" s="25" t="s">
        <v>733</v>
      </c>
      <c r="BM219" s="24" t="s">
        <v>733</v>
      </c>
      <c r="BN219" s="24" t="s">
        <v>732</v>
      </c>
      <c r="BO219" s="24" t="s">
        <v>733</v>
      </c>
      <c r="BP219" s="24" t="s">
        <v>733</v>
      </c>
      <c r="BQ219" s="24" t="s">
        <v>945</v>
      </c>
      <c r="BR219" s="24" t="s">
        <v>945</v>
      </c>
      <c r="BS219" s="25" t="s">
        <v>934</v>
      </c>
      <c r="BT219" s="24" t="s">
        <v>934</v>
      </c>
      <c r="BU219" s="24" t="s">
        <v>934</v>
      </c>
      <c r="BV219" s="24" t="s">
        <v>934</v>
      </c>
      <c r="BW219" s="24" t="s">
        <v>934</v>
      </c>
      <c r="BX219" s="24" t="s">
        <v>934</v>
      </c>
      <c r="BY219" s="25" t="s">
        <v>945</v>
      </c>
      <c r="BZ219" t="s">
        <v>1397</v>
      </c>
      <c r="CB219" t="s">
        <v>1401</v>
      </c>
      <c r="CC219" s="4" t="s">
        <v>1</v>
      </c>
      <c r="CD219" s="4"/>
      <c r="CE219" s="4"/>
      <c r="CF219" t="s">
        <v>1</v>
      </c>
      <c r="CG219" t="s">
        <v>1</v>
      </c>
      <c r="CH219" t="s">
        <v>805</v>
      </c>
      <c r="CI219" s="28">
        <f t="shared" si="30"/>
        <v>1.5666666666666667</v>
      </c>
      <c r="CJ219" s="10" t="s">
        <v>1442</v>
      </c>
      <c r="CK219" s="9" t="s">
        <v>1</v>
      </c>
      <c r="CL219" s="4" t="s">
        <v>1</v>
      </c>
      <c r="CM219" t="s">
        <v>848</v>
      </c>
      <c r="CN219" s="4">
        <v>122</v>
      </c>
      <c r="CO219" s="4" t="s">
        <v>1</v>
      </c>
      <c r="CP219" s="4" t="s">
        <v>1</v>
      </c>
      <c r="CQ219" s="4" t="s">
        <v>1</v>
      </c>
      <c r="CR219" s="4" t="s">
        <v>1</v>
      </c>
      <c r="CS219" s="4" t="s">
        <v>1</v>
      </c>
      <c r="CT219" s="4" t="s">
        <v>1</v>
      </c>
      <c r="CU219" s="4" t="s">
        <v>1</v>
      </c>
      <c r="CV219" t="s">
        <v>855</v>
      </c>
      <c r="CW219">
        <v>100</v>
      </c>
      <c r="CX219">
        <v>0</v>
      </c>
      <c r="CY219">
        <v>30</v>
      </c>
      <c r="CZ219" s="26" t="s">
        <v>1358</v>
      </c>
      <c r="DA219" t="s">
        <v>734</v>
      </c>
      <c r="DB219">
        <v>59</v>
      </c>
      <c r="DC219">
        <v>0</v>
      </c>
      <c r="DD219">
        <v>30</v>
      </c>
      <c r="DE219" s="26" t="s">
        <v>1358</v>
      </c>
      <c r="DF219" t="s">
        <v>735</v>
      </c>
      <c r="DG219">
        <v>29</v>
      </c>
      <c r="DH219">
        <v>0</v>
      </c>
      <c r="DI219">
        <v>30</v>
      </c>
      <c r="DJ219" s="26" t="s">
        <v>1358</v>
      </c>
      <c r="DK219" t="s">
        <v>736</v>
      </c>
      <c r="DL219">
        <v>12</v>
      </c>
      <c r="DM219">
        <v>0</v>
      </c>
      <c r="DN219">
        <v>30</v>
      </c>
      <c r="DO219" s="26" t="s">
        <v>1358</v>
      </c>
      <c r="DP219" t="s">
        <v>6</v>
      </c>
      <c r="DQ219" t="s">
        <v>1</v>
      </c>
      <c r="DR219">
        <v>6.5</v>
      </c>
      <c r="DS219">
        <v>0</v>
      </c>
      <c r="DT219">
        <v>30</v>
      </c>
      <c r="DU219" s="26" t="s">
        <v>1358</v>
      </c>
      <c r="EA219" t="s">
        <v>982</v>
      </c>
      <c r="EB219">
        <v>13</v>
      </c>
      <c r="EC219">
        <v>0</v>
      </c>
      <c r="ED219">
        <v>30</v>
      </c>
      <c r="EE219" s="26" t="s">
        <v>1358</v>
      </c>
      <c r="EF219" s="26"/>
      <c r="FZ219" t="s">
        <v>806</v>
      </c>
      <c r="GA219">
        <v>754</v>
      </c>
      <c r="GE219" s="26" t="s">
        <v>1358</v>
      </c>
      <c r="HA219" s="5" t="s">
        <v>1</v>
      </c>
      <c r="HB219" s="4" t="s">
        <v>1</v>
      </c>
      <c r="HC219" t="s">
        <v>1</v>
      </c>
      <c r="HD219" t="s">
        <v>1</v>
      </c>
      <c r="HE219" t="s">
        <v>1</v>
      </c>
      <c r="HF219" s="5" t="s">
        <v>1063</v>
      </c>
      <c r="HG219" s="4">
        <v>1.1000000000000003</v>
      </c>
      <c r="HH219">
        <v>0</v>
      </c>
      <c r="HI219">
        <v>30</v>
      </c>
      <c r="HJ219" s="26" t="s">
        <v>1358</v>
      </c>
      <c r="HK219" t="s">
        <v>1</v>
      </c>
      <c r="HL219" t="s">
        <v>1</v>
      </c>
      <c r="HM219" t="s">
        <v>1</v>
      </c>
      <c r="HN219" t="s">
        <v>1</v>
      </c>
      <c r="HO219" t="s">
        <v>1</v>
      </c>
      <c r="HP219" t="s">
        <v>1</v>
      </c>
      <c r="HZ219" t="s">
        <v>968</v>
      </c>
      <c r="IA219">
        <v>120</v>
      </c>
      <c r="IB219" s="10" t="s">
        <v>1</v>
      </c>
      <c r="IC219" s="10"/>
      <c r="ID219" s="10"/>
      <c r="IE219" s="10" t="s">
        <v>1</v>
      </c>
      <c r="IF219" s="10" t="s">
        <v>1</v>
      </c>
      <c r="IG219" s="10"/>
      <c r="IH219" s="10"/>
      <c r="II219" s="10"/>
      <c r="IJ219" s="10"/>
      <c r="IK219" s="10"/>
      <c r="IL219" s="10"/>
      <c r="IM219" s="10"/>
      <c r="IN219" s="10"/>
      <c r="IO219" s="10"/>
      <c r="IP219" s="10"/>
      <c r="IQ219" s="10"/>
      <c r="IR219" s="10"/>
      <c r="IS219" t="s">
        <v>1</v>
      </c>
      <c r="IT219" t="s">
        <v>1</v>
      </c>
      <c r="IW219" t="s">
        <v>979</v>
      </c>
      <c r="IX219">
        <v>74</v>
      </c>
      <c r="IY219" t="s">
        <v>1</v>
      </c>
      <c r="IZ219" t="s">
        <v>1</v>
      </c>
      <c r="JA219" t="s">
        <v>1</v>
      </c>
      <c r="JB219" s="3" t="s">
        <v>1</v>
      </c>
      <c r="JC219" t="s">
        <v>1</v>
      </c>
      <c r="JD219" s="4" t="s">
        <v>1</v>
      </c>
      <c r="JE219" t="s">
        <v>810</v>
      </c>
      <c r="JF219">
        <v>100</v>
      </c>
      <c r="JR219" t="s">
        <v>1066</v>
      </c>
      <c r="JS219">
        <v>252.3</v>
      </c>
      <c r="JU219" t="s">
        <v>1</v>
      </c>
      <c r="JW219" t="s">
        <v>1</v>
      </c>
      <c r="JX219">
        <v>0</v>
      </c>
      <c r="JY219">
        <v>90</v>
      </c>
      <c r="JZ219" t="s">
        <v>800</v>
      </c>
      <c r="KA219" t="s">
        <v>216</v>
      </c>
      <c r="KB219" t="s">
        <v>738</v>
      </c>
      <c r="KC219" t="s">
        <v>1</v>
      </c>
      <c r="KD219" t="s">
        <v>1</v>
      </c>
      <c r="KE219" t="s">
        <v>1</v>
      </c>
      <c r="KF219" t="s">
        <v>1</v>
      </c>
      <c r="KG219" t="s">
        <v>1</v>
      </c>
      <c r="KH219" t="s">
        <v>1</v>
      </c>
      <c r="KI219" t="s">
        <v>1</v>
      </c>
      <c r="KJ219" t="s">
        <v>1</v>
      </c>
      <c r="KK219" t="s">
        <v>1</v>
      </c>
    </row>
    <row r="220" spans="1:297" x14ac:dyDescent="0.2">
      <c r="A220">
        <v>188</v>
      </c>
      <c r="B220" t="s">
        <v>705</v>
      </c>
      <c r="C220" t="s">
        <v>221</v>
      </c>
      <c r="D220" t="s">
        <v>214</v>
      </c>
      <c r="E220">
        <v>30</v>
      </c>
      <c r="F220" t="s">
        <v>1320</v>
      </c>
      <c r="G220" t="s">
        <v>1</v>
      </c>
      <c r="H220" s="26" t="s">
        <v>1420</v>
      </c>
      <c r="I220" t="s">
        <v>1</v>
      </c>
      <c r="J220" t="s">
        <v>1</v>
      </c>
      <c r="K220" t="s">
        <v>1</v>
      </c>
      <c r="L220" t="s">
        <v>1</v>
      </c>
      <c r="M220" t="s">
        <v>1</v>
      </c>
      <c r="N220" t="s">
        <v>1</v>
      </c>
      <c r="O220" t="s">
        <v>1</v>
      </c>
      <c r="P220" t="s">
        <v>1</v>
      </c>
      <c r="Q220" t="s">
        <v>1</v>
      </c>
      <c r="R220" t="s">
        <v>1</v>
      </c>
      <c r="S220" t="s">
        <v>1</v>
      </c>
      <c r="T220" t="s">
        <v>1</v>
      </c>
      <c r="U220" t="s">
        <v>1</v>
      </c>
      <c r="V220" t="s">
        <v>1</v>
      </c>
      <c r="W220" t="s">
        <v>1</v>
      </c>
      <c r="X220" t="s">
        <v>1</v>
      </c>
      <c r="Y220" t="s">
        <v>1</v>
      </c>
      <c r="Z220" t="s">
        <v>1</v>
      </c>
      <c r="AA220" t="s">
        <v>1</v>
      </c>
      <c r="AB220" t="s">
        <v>1</v>
      </c>
      <c r="AC220" t="s">
        <v>1</v>
      </c>
      <c r="AD220" t="s">
        <v>1</v>
      </c>
      <c r="AE220" t="s">
        <v>1</v>
      </c>
      <c r="AF220" t="s">
        <v>1</v>
      </c>
      <c r="AG220" t="s">
        <v>1</v>
      </c>
      <c r="AH220" t="s">
        <v>1</v>
      </c>
      <c r="AI220" t="s">
        <v>1</v>
      </c>
      <c r="AJ220" t="s">
        <v>1</v>
      </c>
      <c r="AK220" t="s">
        <v>1</v>
      </c>
      <c r="AL220" t="s">
        <v>1</v>
      </c>
      <c r="AM220" t="s">
        <v>1</v>
      </c>
      <c r="AN220">
        <v>188</v>
      </c>
      <c r="AO220">
        <f t="shared" si="25"/>
        <v>188</v>
      </c>
      <c r="AP220">
        <f t="shared" si="26"/>
        <v>30</v>
      </c>
      <c r="AQ220">
        <f t="shared" si="27"/>
        <v>30</v>
      </c>
      <c r="AR220" s="26" t="s">
        <v>1355</v>
      </c>
      <c r="AS220" s="26" t="s">
        <v>1356</v>
      </c>
      <c r="AT220" t="s">
        <v>716</v>
      </c>
      <c r="AU220" t="s">
        <v>1</v>
      </c>
      <c r="AV220" t="s">
        <v>1</v>
      </c>
      <c r="AW220">
        <v>54.32</v>
      </c>
      <c r="AX220">
        <v>9.98</v>
      </c>
      <c r="AY220" t="s">
        <v>737</v>
      </c>
      <c r="BA220" s="3">
        <f>2+2+3</f>
        <v>7</v>
      </c>
      <c r="BB220" s="3"/>
      <c r="BC220" s="3"/>
      <c r="BD220" s="3"/>
      <c r="BE220" s="3"/>
      <c r="BF220">
        <v>1999</v>
      </c>
      <c r="BG220" s="24" t="s">
        <v>733</v>
      </c>
      <c r="BH220" s="24" t="s">
        <v>733</v>
      </c>
      <c r="BI220" s="24" t="s">
        <v>733</v>
      </c>
      <c r="BJ220" s="24" t="s">
        <v>732</v>
      </c>
      <c r="BK220" s="24" t="s">
        <v>733</v>
      </c>
      <c r="BL220" s="25" t="s">
        <v>733</v>
      </c>
      <c r="BM220" s="24" t="s">
        <v>733</v>
      </c>
      <c r="BN220" s="24" t="s">
        <v>732</v>
      </c>
      <c r="BO220" s="24" t="s">
        <v>733</v>
      </c>
      <c r="BP220" s="24" t="s">
        <v>733</v>
      </c>
      <c r="BQ220" s="24" t="s">
        <v>945</v>
      </c>
      <c r="BR220" s="24" t="s">
        <v>945</v>
      </c>
      <c r="BS220" s="25" t="s">
        <v>934</v>
      </c>
      <c r="BT220" s="24" t="s">
        <v>934</v>
      </c>
      <c r="BU220" s="24" t="s">
        <v>934</v>
      </c>
      <c r="BV220" s="24" t="s">
        <v>934</v>
      </c>
      <c r="BW220" s="24" t="s">
        <v>934</v>
      </c>
      <c r="BX220" s="24" t="s">
        <v>934</v>
      </c>
      <c r="BY220" s="25" t="s">
        <v>945</v>
      </c>
      <c r="BZ220" t="s">
        <v>1397</v>
      </c>
      <c r="CB220" t="s">
        <v>1401</v>
      </c>
      <c r="CC220" s="4" t="s">
        <v>1</v>
      </c>
      <c r="CD220" s="4"/>
      <c r="CE220" s="4"/>
      <c r="CF220" t="s">
        <v>1</v>
      </c>
      <c r="CG220" t="s">
        <v>1</v>
      </c>
      <c r="CH220" t="s">
        <v>805</v>
      </c>
      <c r="CI220" s="28">
        <f t="shared" si="30"/>
        <v>1.5666666666666667</v>
      </c>
      <c r="CJ220" s="10" t="s">
        <v>1442</v>
      </c>
      <c r="CK220" s="9" t="s">
        <v>1</v>
      </c>
      <c r="CL220" s="4" t="s">
        <v>1</v>
      </c>
      <c r="CM220" t="s">
        <v>848</v>
      </c>
      <c r="CN220" s="4">
        <v>141</v>
      </c>
      <c r="CO220" s="4" t="s">
        <v>1</v>
      </c>
      <c r="CP220" s="4" t="s">
        <v>1</v>
      </c>
      <c r="CQ220" s="4" t="s">
        <v>1</v>
      </c>
      <c r="CR220" s="4" t="s">
        <v>1</v>
      </c>
      <c r="CS220" s="4" t="s">
        <v>1</v>
      </c>
      <c r="CT220" s="4" t="s">
        <v>1</v>
      </c>
      <c r="CU220" s="4" t="s">
        <v>1</v>
      </c>
      <c r="CV220" t="s">
        <v>855</v>
      </c>
      <c r="CW220">
        <v>100</v>
      </c>
      <c r="CX220">
        <v>0</v>
      </c>
      <c r="CY220">
        <v>30</v>
      </c>
      <c r="CZ220" s="26" t="s">
        <v>1358</v>
      </c>
      <c r="DA220" t="s">
        <v>734</v>
      </c>
      <c r="DB220">
        <v>59</v>
      </c>
      <c r="DC220">
        <v>0</v>
      </c>
      <c r="DD220">
        <v>30</v>
      </c>
      <c r="DE220" s="26" t="s">
        <v>1358</v>
      </c>
      <c r="DF220" t="s">
        <v>735</v>
      </c>
      <c r="DG220">
        <v>29</v>
      </c>
      <c r="DH220">
        <v>0</v>
      </c>
      <c r="DI220">
        <v>30</v>
      </c>
      <c r="DJ220" s="26" t="s">
        <v>1358</v>
      </c>
      <c r="DK220" t="s">
        <v>736</v>
      </c>
      <c r="DL220">
        <v>12</v>
      </c>
      <c r="DM220">
        <v>0</v>
      </c>
      <c r="DN220">
        <v>30</v>
      </c>
      <c r="DO220" s="26" t="s">
        <v>1358</v>
      </c>
      <c r="DP220" t="s">
        <v>6</v>
      </c>
      <c r="DQ220" t="s">
        <v>1</v>
      </c>
      <c r="DR220">
        <v>6.5</v>
      </c>
      <c r="DS220">
        <v>0</v>
      </c>
      <c r="DT220">
        <v>30</v>
      </c>
      <c r="DU220" s="26" t="s">
        <v>1358</v>
      </c>
      <c r="EA220" t="s">
        <v>982</v>
      </c>
      <c r="EB220">
        <v>13</v>
      </c>
      <c r="EC220">
        <v>0</v>
      </c>
      <c r="ED220">
        <v>30</v>
      </c>
      <c r="EE220" s="26" t="s">
        <v>1358</v>
      </c>
      <c r="EF220" s="26"/>
      <c r="FZ220" t="s">
        <v>806</v>
      </c>
      <c r="GA220">
        <v>754</v>
      </c>
      <c r="GE220" s="26" t="s">
        <v>1358</v>
      </c>
      <c r="HA220" s="5" t="s">
        <v>1</v>
      </c>
      <c r="HB220" s="4" t="s">
        <v>1</v>
      </c>
      <c r="HC220" t="s">
        <v>1</v>
      </c>
      <c r="HD220" t="s">
        <v>1</v>
      </c>
      <c r="HE220" t="s">
        <v>1</v>
      </c>
      <c r="HF220" s="5" t="s">
        <v>1063</v>
      </c>
      <c r="HG220" s="4">
        <v>1.1000000000000003</v>
      </c>
      <c r="HH220">
        <v>0</v>
      </c>
      <c r="HI220">
        <v>30</v>
      </c>
      <c r="HJ220" s="26" t="s">
        <v>1358</v>
      </c>
      <c r="HK220" t="s">
        <v>1</v>
      </c>
      <c r="HL220" t="s">
        <v>1</v>
      </c>
      <c r="HM220" t="s">
        <v>1</v>
      </c>
      <c r="HN220" t="s">
        <v>1</v>
      </c>
      <c r="HO220" t="s">
        <v>1</v>
      </c>
      <c r="HP220" t="s">
        <v>1</v>
      </c>
      <c r="HZ220" t="s">
        <v>968</v>
      </c>
      <c r="IA220">
        <v>240</v>
      </c>
      <c r="IB220" s="10" t="s">
        <v>1</v>
      </c>
      <c r="IC220" s="10"/>
      <c r="ID220" s="10"/>
      <c r="IE220" s="10" t="s">
        <v>1</v>
      </c>
      <c r="IF220" s="10" t="s">
        <v>1</v>
      </c>
      <c r="IG220" s="10"/>
      <c r="IH220" s="10"/>
      <c r="II220" s="10"/>
      <c r="IJ220" s="10"/>
      <c r="IK220" s="10"/>
      <c r="IL220" s="10"/>
      <c r="IM220" s="10"/>
      <c r="IN220" s="10"/>
      <c r="IO220" s="10"/>
      <c r="IP220" s="10"/>
      <c r="IQ220" s="10"/>
      <c r="IR220" s="10"/>
      <c r="IS220" t="s">
        <v>1</v>
      </c>
      <c r="IT220" t="s">
        <v>1</v>
      </c>
      <c r="IW220" t="s">
        <v>979</v>
      </c>
      <c r="IX220">
        <v>66</v>
      </c>
      <c r="IY220" t="s">
        <v>1</v>
      </c>
      <c r="IZ220" t="s">
        <v>1</v>
      </c>
      <c r="JA220" t="s">
        <v>1</v>
      </c>
      <c r="JB220" s="3" t="s">
        <v>1</v>
      </c>
      <c r="JC220" t="s">
        <v>1</v>
      </c>
      <c r="JD220" s="4" t="s">
        <v>1</v>
      </c>
      <c r="JE220" t="s">
        <v>810</v>
      </c>
      <c r="JF220">
        <v>100</v>
      </c>
      <c r="JR220" t="s">
        <v>1066</v>
      </c>
      <c r="JS220">
        <v>296.60000000000002</v>
      </c>
      <c r="JU220" t="s">
        <v>1</v>
      </c>
      <c r="JW220" t="s">
        <v>1</v>
      </c>
      <c r="JX220">
        <v>0</v>
      </c>
      <c r="JY220">
        <v>90</v>
      </c>
      <c r="JZ220" t="s">
        <v>800</v>
      </c>
      <c r="KA220" t="s">
        <v>216</v>
      </c>
      <c r="KB220" t="s">
        <v>738</v>
      </c>
      <c r="KC220" t="s">
        <v>1</v>
      </c>
      <c r="KD220" t="s">
        <v>1</v>
      </c>
      <c r="KE220" t="s">
        <v>1</v>
      </c>
      <c r="KF220" t="s">
        <v>1</v>
      </c>
      <c r="KG220" t="s">
        <v>1</v>
      </c>
      <c r="KH220" t="s">
        <v>1</v>
      </c>
      <c r="KI220" t="s">
        <v>1</v>
      </c>
      <c r="KJ220" t="s">
        <v>1</v>
      </c>
      <c r="KK220" t="s">
        <v>1</v>
      </c>
    </row>
    <row r="221" spans="1:297" x14ac:dyDescent="0.2">
      <c r="A221">
        <v>189</v>
      </c>
      <c r="B221" t="s">
        <v>705</v>
      </c>
      <c r="C221" t="s">
        <v>224</v>
      </c>
      <c r="D221" t="s">
        <v>222</v>
      </c>
      <c r="E221">
        <v>31</v>
      </c>
      <c r="F221" t="s">
        <v>223</v>
      </c>
      <c r="G221" t="s">
        <v>1</v>
      </c>
      <c r="H221" s="26" t="s">
        <v>1420</v>
      </c>
      <c r="I221" t="s">
        <v>1</v>
      </c>
      <c r="J221" t="s">
        <v>1</v>
      </c>
      <c r="K221" t="s">
        <v>1</v>
      </c>
      <c r="L221" t="s">
        <v>1</v>
      </c>
      <c r="M221" t="s">
        <v>1</v>
      </c>
      <c r="N221" t="s">
        <v>1</v>
      </c>
      <c r="O221" t="s">
        <v>1</v>
      </c>
      <c r="P221" t="s">
        <v>1</v>
      </c>
      <c r="Q221" t="s">
        <v>1</v>
      </c>
      <c r="R221" t="s">
        <v>1</v>
      </c>
      <c r="S221" t="s">
        <v>1</v>
      </c>
      <c r="T221" t="s">
        <v>1</v>
      </c>
      <c r="U221" t="s">
        <v>1</v>
      </c>
      <c r="V221" t="s">
        <v>1</v>
      </c>
      <c r="W221" t="s">
        <v>1</v>
      </c>
      <c r="X221" t="s">
        <v>1</v>
      </c>
      <c r="Y221" t="s">
        <v>1</v>
      </c>
      <c r="Z221" t="s">
        <v>1</v>
      </c>
      <c r="AA221" t="s">
        <v>1</v>
      </c>
      <c r="AB221" t="s">
        <v>1</v>
      </c>
      <c r="AC221" t="s">
        <v>1</v>
      </c>
      <c r="AD221" t="s">
        <v>1</v>
      </c>
      <c r="AE221" t="s">
        <v>1</v>
      </c>
      <c r="AF221" t="s">
        <v>1</v>
      </c>
      <c r="AG221" t="s">
        <v>1</v>
      </c>
      <c r="AH221" t="s">
        <v>1</v>
      </c>
      <c r="AI221" t="s">
        <v>1</v>
      </c>
      <c r="AJ221" t="s">
        <v>1</v>
      </c>
      <c r="AK221" t="s">
        <v>1</v>
      </c>
      <c r="AL221" t="s">
        <v>1</v>
      </c>
      <c r="AM221" t="s">
        <v>1</v>
      </c>
      <c r="AN221">
        <v>189</v>
      </c>
      <c r="AO221">
        <f t="shared" si="25"/>
        <v>189</v>
      </c>
      <c r="AP221">
        <f t="shared" si="26"/>
        <v>31</v>
      </c>
      <c r="AQ221">
        <f t="shared" si="27"/>
        <v>31</v>
      </c>
      <c r="AR221" s="26" t="s">
        <v>1355</v>
      </c>
      <c r="AS221" s="26" t="s">
        <v>1356</v>
      </c>
      <c r="AT221" t="s">
        <v>710</v>
      </c>
      <c r="AU221" t="s">
        <v>1</v>
      </c>
      <c r="AV221" t="s">
        <v>1</v>
      </c>
      <c r="AW221">
        <v>30.83</v>
      </c>
      <c r="AX221">
        <v>120.67</v>
      </c>
      <c r="AY221" t="s">
        <v>737</v>
      </c>
      <c r="BA221" s="3">
        <v>3</v>
      </c>
      <c r="BB221" s="3"/>
      <c r="BC221" s="3"/>
      <c r="BD221" s="3"/>
      <c r="BE221" s="3"/>
      <c r="BF221">
        <v>2004</v>
      </c>
      <c r="BG221" s="24" t="s">
        <v>733</v>
      </c>
      <c r="BH221" s="24" t="s">
        <v>733</v>
      </c>
      <c r="BI221" s="24" t="s">
        <v>733</v>
      </c>
      <c r="BJ221" s="24" t="s">
        <v>732</v>
      </c>
      <c r="BK221" s="24" t="s">
        <v>733</v>
      </c>
      <c r="BL221" s="25" t="s">
        <v>733</v>
      </c>
      <c r="BM221" s="24" t="s">
        <v>733</v>
      </c>
      <c r="BN221" s="24" t="s">
        <v>732</v>
      </c>
      <c r="BO221" s="24" t="s">
        <v>733</v>
      </c>
      <c r="BP221" s="24" t="s">
        <v>733</v>
      </c>
      <c r="BQ221" s="24" t="s">
        <v>945</v>
      </c>
      <c r="BR221" s="24" t="s">
        <v>945</v>
      </c>
      <c r="BS221" s="25" t="s">
        <v>934</v>
      </c>
      <c r="BT221" s="24" t="s">
        <v>934</v>
      </c>
      <c r="BU221" s="24" t="s">
        <v>934</v>
      </c>
      <c r="BV221" s="24" t="s">
        <v>934</v>
      </c>
      <c r="BW221" s="24" t="s">
        <v>934</v>
      </c>
      <c r="BX221" s="24" t="s">
        <v>934</v>
      </c>
      <c r="BY221" s="25" t="s">
        <v>945</v>
      </c>
      <c r="BZ221" t="s">
        <v>62</v>
      </c>
      <c r="CB221" t="s">
        <v>63</v>
      </c>
      <c r="CC221" s="4">
        <v>1913.5</v>
      </c>
      <c r="CD221" s="4"/>
      <c r="CE221" s="4"/>
      <c r="CF221" t="s">
        <v>793</v>
      </c>
      <c r="CG221">
        <v>100</v>
      </c>
      <c r="CH221" t="s">
        <v>805</v>
      </c>
      <c r="CI221" s="28">
        <v>1.7</v>
      </c>
      <c r="CJ221" s="10" t="s">
        <v>1442</v>
      </c>
      <c r="CK221" s="9" t="s">
        <v>1</v>
      </c>
      <c r="CL221" s="34" t="s">
        <v>1</v>
      </c>
      <c r="CM221" s="34" t="s">
        <v>1</v>
      </c>
      <c r="CN221" s="34" t="s">
        <v>1</v>
      </c>
      <c r="CO221" s="4" t="s">
        <v>1</v>
      </c>
      <c r="CP221" s="4" t="s">
        <v>1</v>
      </c>
      <c r="CQ221" s="4" t="s">
        <v>1</v>
      </c>
      <c r="CR221" s="4" t="s">
        <v>1</v>
      </c>
      <c r="CS221" s="4" t="s">
        <v>1</v>
      </c>
      <c r="CT221" s="4" t="s">
        <v>1</v>
      </c>
      <c r="CU221" s="4" t="s">
        <v>1</v>
      </c>
      <c r="CV221" t="s">
        <v>849</v>
      </c>
      <c r="CW221">
        <v>100</v>
      </c>
      <c r="CX221">
        <v>0</v>
      </c>
      <c r="CY221">
        <v>20</v>
      </c>
      <c r="CZ221" s="26" t="s">
        <v>1358</v>
      </c>
      <c r="DA221" t="s">
        <v>734</v>
      </c>
      <c r="DB221">
        <v>21.1</v>
      </c>
      <c r="DC221">
        <v>0</v>
      </c>
      <c r="DD221">
        <v>20</v>
      </c>
      <c r="DE221" s="26" t="s">
        <v>1358</v>
      </c>
      <c r="DF221" t="s">
        <v>735</v>
      </c>
      <c r="DG221">
        <v>35.200000000000003</v>
      </c>
      <c r="DH221">
        <v>0</v>
      </c>
      <c r="DI221">
        <v>20</v>
      </c>
      <c r="DJ221" s="26" t="s">
        <v>1358</v>
      </c>
      <c r="DK221" t="s">
        <v>736</v>
      </c>
      <c r="DL221">
        <v>43.6</v>
      </c>
      <c r="DM221">
        <v>0</v>
      </c>
      <c r="DN221">
        <v>20</v>
      </c>
      <c r="DO221" s="26" t="s">
        <v>1358</v>
      </c>
      <c r="DP221" t="s">
        <v>6</v>
      </c>
      <c r="DQ221" t="s">
        <v>1</v>
      </c>
      <c r="DR221">
        <v>6.8</v>
      </c>
      <c r="DS221">
        <v>0</v>
      </c>
      <c r="DT221">
        <v>20</v>
      </c>
      <c r="DU221" s="26" t="s">
        <v>1358</v>
      </c>
      <c r="EA221" t="s">
        <v>982</v>
      </c>
      <c r="EB221">
        <v>20.299999999999997</v>
      </c>
      <c r="EC221">
        <v>0</v>
      </c>
      <c r="ED221">
        <v>20</v>
      </c>
      <c r="EE221" s="26" t="s">
        <v>1358</v>
      </c>
      <c r="EF221" s="26"/>
      <c r="FZ221" t="s">
        <v>806</v>
      </c>
      <c r="GA221">
        <v>406</v>
      </c>
      <c r="GE221" s="26" t="s">
        <v>1358</v>
      </c>
      <c r="HA221" s="5" t="s">
        <v>1069</v>
      </c>
      <c r="HB221" s="4">
        <v>8.1</v>
      </c>
      <c r="HC221">
        <v>0</v>
      </c>
      <c r="HD221">
        <v>20</v>
      </c>
      <c r="HE221" s="26" t="s">
        <v>1358</v>
      </c>
      <c r="HF221" s="5" t="s">
        <v>1063</v>
      </c>
      <c r="HG221" s="4">
        <v>2.7519999999999998</v>
      </c>
      <c r="HH221">
        <v>0</v>
      </c>
      <c r="HI221">
        <v>20</v>
      </c>
      <c r="HJ221" s="26" t="s">
        <v>1358</v>
      </c>
      <c r="HK221" t="s">
        <v>1</v>
      </c>
      <c r="HL221" t="s">
        <v>1</v>
      </c>
      <c r="HM221" t="s">
        <v>1</v>
      </c>
      <c r="HN221" t="s">
        <v>1</v>
      </c>
      <c r="HO221" t="s">
        <v>1</v>
      </c>
      <c r="HP221" t="s">
        <v>1</v>
      </c>
      <c r="HZ221" t="s">
        <v>1</v>
      </c>
      <c r="IA221" t="s">
        <v>1</v>
      </c>
      <c r="IB221" s="10" t="s">
        <v>1</v>
      </c>
      <c r="IC221" s="10"/>
      <c r="ID221" s="10"/>
      <c r="IE221" s="10" t="s">
        <v>1</v>
      </c>
      <c r="IF221" s="10" t="s">
        <v>1</v>
      </c>
      <c r="IG221" s="10"/>
      <c r="IH221" s="10"/>
      <c r="II221" s="10"/>
      <c r="IJ221" s="10"/>
      <c r="IK221" s="10"/>
      <c r="IL221" s="10"/>
      <c r="IM221" s="10"/>
      <c r="IN221" s="10"/>
      <c r="IO221" s="10"/>
      <c r="IP221" s="10"/>
      <c r="IQ221" s="10"/>
      <c r="IR221" s="10"/>
      <c r="IS221" t="s">
        <v>1</v>
      </c>
      <c r="IT221" t="s">
        <v>1</v>
      </c>
      <c r="IW221" t="s">
        <v>1</v>
      </c>
      <c r="IX221" t="s">
        <v>1</v>
      </c>
      <c r="IY221" t="s">
        <v>1</v>
      </c>
      <c r="IZ221" t="s">
        <v>1</v>
      </c>
      <c r="JA221" t="s">
        <v>1</v>
      </c>
      <c r="JB221" s="3" t="s">
        <v>1</v>
      </c>
      <c r="JC221" t="s">
        <v>1</v>
      </c>
      <c r="JD221" s="4" t="s">
        <v>1</v>
      </c>
      <c r="JE221" t="s">
        <v>1</v>
      </c>
      <c r="JF221" t="s">
        <v>1</v>
      </c>
      <c r="JR221" t="s">
        <v>1066</v>
      </c>
      <c r="JS221">
        <v>8.3000000000000007</v>
      </c>
      <c r="JU221" t="s">
        <v>1</v>
      </c>
      <c r="JW221" t="s">
        <v>1</v>
      </c>
      <c r="JX221">
        <v>0</v>
      </c>
      <c r="JY221">
        <v>60</v>
      </c>
      <c r="JZ221" t="s">
        <v>798</v>
      </c>
      <c r="KA221" t="s">
        <v>225</v>
      </c>
      <c r="KB221" t="s">
        <v>738</v>
      </c>
      <c r="KC221" t="s">
        <v>1</v>
      </c>
      <c r="KD221" t="s">
        <v>1</v>
      </c>
      <c r="KE221" t="s">
        <v>1</v>
      </c>
      <c r="KF221" t="s">
        <v>1</v>
      </c>
      <c r="KG221" t="s">
        <v>1</v>
      </c>
      <c r="KH221" t="s">
        <v>1</v>
      </c>
      <c r="KI221" t="s">
        <v>1</v>
      </c>
      <c r="KJ221" t="s">
        <v>1</v>
      </c>
      <c r="KK221" t="s">
        <v>1</v>
      </c>
    </row>
    <row r="222" spans="1:297" x14ac:dyDescent="0.2">
      <c r="A222">
        <v>190</v>
      </c>
      <c r="B222" t="s">
        <v>705</v>
      </c>
      <c r="C222" t="s">
        <v>226</v>
      </c>
      <c r="D222" t="s">
        <v>222</v>
      </c>
      <c r="E222">
        <v>31</v>
      </c>
      <c r="F222" t="s">
        <v>223</v>
      </c>
      <c r="G222" t="s">
        <v>1</v>
      </c>
      <c r="H222" s="26" t="s">
        <v>1420</v>
      </c>
      <c r="I222" t="s">
        <v>1</v>
      </c>
      <c r="J222" t="s">
        <v>1</v>
      </c>
      <c r="K222" t="s">
        <v>1</v>
      </c>
      <c r="L222" t="s">
        <v>1</v>
      </c>
      <c r="M222" t="s">
        <v>1</v>
      </c>
      <c r="N222" t="s">
        <v>1</v>
      </c>
      <c r="O222" t="s">
        <v>1</v>
      </c>
      <c r="P222" t="s">
        <v>1</v>
      </c>
      <c r="Q222" t="s">
        <v>1</v>
      </c>
      <c r="R222" t="s">
        <v>1</v>
      </c>
      <c r="S222" t="s">
        <v>1</v>
      </c>
      <c r="T222" t="s">
        <v>1</v>
      </c>
      <c r="U222" t="s">
        <v>1</v>
      </c>
      <c r="V222" t="s">
        <v>1</v>
      </c>
      <c r="W222" t="s">
        <v>1</v>
      </c>
      <c r="X222" t="s">
        <v>1</v>
      </c>
      <c r="Y222" t="s">
        <v>1</v>
      </c>
      <c r="Z222" t="s">
        <v>1</v>
      </c>
      <c r="AA222" t="s">
        <v>1</v>
      </c>
      <c r="AB222" t="s">
        <v>1</v>
      </c>
      <c r="AC222" t="s">
        <v>1</v>
      </c>
      <c r="AD222" t="s">
        <v>1</v>
      </c>
      <c r="AE222" t="s">
        <v>1</v>
      </c>
      <c r="AF222" t="s">
        <v>1</v>
      </c>
      <c r="AG222" t="s">
        <v>1</v>
      </c>
      <c r="AH222" t="s">
        <v>1</v>
      </c>
      <c r="AI222" t="s">
        <v>1</v>
      </c>
      <c r="AJ222" t="s">
        <v>1</v>
      </c>
      <c r="AK222" t="s">
        <v>1</v>
      </c>
      <c r="AL222" t="s">
        <v>1</v>
      </c>
      <c r="AM222" t="s">
        <v>1</v>
      </c>
      <c r="AN222">
        <v>190</v>
      </c>
      <c r="AO222">
        <f t="shared" si="25"/>
        <v>190</v>
      </c>
      <c r="AP222">
        <f t="shared" si="26"/>
        <v>31</v>
      </c>
      <c r="AQ222">
        <f t="shared" si="27"/>
        <v>31</v>
      </c>
      <c r="AR222" s="26" t="s">
        <v>1355</v>
      </c>
      <c r="AS222" s="26" t="s">
        <v>1356</v>
      </c>
      <c r="AT222" t="s">
        <v>710</v>
      </c>
      <c r="AU222" t="s">
        <v>1</v>
      </c>
      <c r="AV222" t="s">
        <v>1</v>
      </c>
      <c r="AW222">
        <v>30.83</v>
      </c>
      <c r="AX222">
        <v>120.67</v>
      </c>
      <c r="AY222" t="s">
        <v>737</v>
      </c>
      <c r="BA222" s="3">
        <v>3</v>
      </c>
      <c r="BB222" s="3"/>
      <c r="BC222" s="3"/>
      <c r="BD222" s="3"/>
      <c r="BE222" s="3"/>
      <c r="BF222">
        <v>2004</v>
      </c>
      <c r="BG222" s="24" t="s">
        <v>733</v>
      </c>
      <c r="BH222" s="24" t="s">
        <v>733</v>
      </c>
      <c r="BI222" s="24" t="s">
        <v>733</v>
      </c>
      <c r="BJ222" s="24" t="s">
        <v>732</v>
      </c>
      <c r="BK222" s="24" t="s">
        <v>733</v>
      </c>
      <c r="BL222" s="25" t="s">
        <v>733</v>
      </c>
      <c r="BM222" s="24" t="s">
        <v>733</v>
      </c>
      <c r="BN222" s="24" t="s">
        <v>732</v>
      </c>
      <c r="BO222" s="24" t="s">
        <v>733</v>
      </c>
      <c r="BP222" s="24" t="s">
        <v>733</v>
      </c>
      <c r="BQ222" s="24" t="s">
        <v>945</v>
      </c>
      <c r="BR222" s="24" t="s">
        <v>945</v>
      </c>
      <c r="BS222" s="25" t="s">
        <v>934</v>
      </c>
      <c r="BT222" s="24" t="s">
        <v>934</v>
      </c>
      <c r="BU222" s="24" t="s">
        <v>934</v>
      </c>
      <c r="BV222" s="24" t="s">
        <v>934</v>
      </c>
      <c r="BW222" s="24" t="s">
        <v>934</v>
      </c>
      <c r="BX222" s="24" t="s">
        <v>934</v>
      </c>
      <c r="BY222" s="25" t="s">
        <v>945</v>
      </c>
      <c r="BZ222" t="s">
        <v>62</v>
      </c>
      <c r="CB222" t="s">
        <v>63</v>
      </c>
      <c r="CC222" s="4">
        <f>3610*0.89</f>
        <v>3212.9</v>
      </c>
      <c r="CD222" s="4"/>
      <c r="CE222" s="4"/>
      <c r="CF222" t="s">
        <v>793</v>
      </c>
      <c r="CG222">
        <v>100</v>
      </c>
      <c r="CH222" t="s">
        <v>805</v>
      </c>
      <c r="CI222" s="28">
        <v>1.7</v>
      </c>
      <c r="CJ222" s="10" t="s">
        <v>1442</v>
      </c>
      <c r="CK222" s="9" t="s">
        <v>1</v>
      </c>
      <c r="CL222" s="34" t="s">
        <v>1</v>
      </c>
      <c r="CM222" s="34" t="s">
        <v>1</v>
      </c>
      <c r="CN222" s="34" t="s">
        <v>1</v>
      </c>
      <c r="CO222" s="4" t="s">
        <v>1</v>
      </c>
      <c r="CP222" s="4" t="s">
        <v>1</v>
      </c>
      <c r="CQ222" s="4" t="s">
        <v>1</v>
      </c>
      <c r="CR222" s="4" t="s">
        <v>1</v>
      </c>
      <c r="CS222" s="4" t="s">
        <v>1</v>
      </c>
      <c r="CT222" s="4" t="s">
        <v>1</v>
      </c>
      <c r="CU222" s="4" t="s">
        <v>1</v>
      </c>
      <c r="CV222" t="s">
        <v>849</v>
      </c>
      <c r="CW222">
        <v>100</v>
      </c>
      <c r="CX222">
        <v>0</v>
      </c>
      <c r="CY222">
        <v>20</v>
      </c>
      <c r="CZ222" s="26" t="s">
        <v>1358</v>
      </c>
      <c r="DA222" t="s">
        <v>734</v>
      </c>
      <c r="DB222">
        <v>21.1</v>
      </c>
      <c r="DC222">
        <v>0</v>
      </c>
      <c r="DD222">
        <v>20</v>
      </c>
      <c r="DE222" s="26" t="s">
        <v>1358</v>
      </c>
      <c r="DF222" t="s">
        <v>735</v>
      </c>
      <c r="DG222">
        <v>35.200000000000003</v>
      </c>
      <c r="DH222">
        <v>0</v>
      </c>
      <c r="DI222">
        <v>20</v>
      </c>
      <c r="DJ222" s="26" t="s">
        <v>1358</v>
      </c>
      <c r="DK222" t="s">
        <v>736</v>
      </c>
      <c r="DL222">
        <v>43.6</v>
      </c>
      <c r="DM222">
        <v>0</v>
      </c>
      <c r="DN222">
        <v>20</v>
      </c>
      <c r="DO222" s="26" t="s">
        <v>1358</v>
      </c>
      <c r="DP222" t="s">
        <v>6</v>
      </c>
      <c r="DQ222" t="s">
        <v>1</v>
      </c>
      <c r="DR222">
        <v>6.8</v>
      </c>
      <c r="DS222">
        <v>0</v>
      </c>
      <c r="DT222">
        <v>20</v>
      </c>
      <c r="DU222" s="26" t="s">
        <v>1358</v>
      </c>
      <c r="EA222" t="s">
        <v>982</v>
      </c>
      <c r="EB222">
        <v>20.299999999999997</v>
      </c>
      <c r="EC222">
        <v>0</v>
      </c>
      <c r="ED222">
        <v>20</v>
      </c>
      <c r="EE222" s="26" t="s">
        <v>1358</v>
      </c>
      <c r="EF222" s="26"/>
      <c r="FZ222" t="s">
        <v>806</v>
      </c>
      <c r="GA222">
        <v>406</v>
      </c>
      <c r="GE222" s="26" t="s">
        <v>1358</v>
      </c>
      <c r="HA222" s="5" t="s">
        <v>1069</v>
      </c>
      <c r="HB222" s="4">
        <v>8.1</v>
      </c>
      <c r="HC222">
        <v>0</v>
      </c>
      <c r="HD222">
        <v>20</v>
      </c>
      <c r="HE222" s="26" t="s">
        <v>1358</v>
      </c>
      <c r="HF222" s="5" t="s">
        <v>1063</v>
      </c>
      <c r="HG222" s="4">
        <v>2.7519999999999998</v>
      </c>
      <c r="HH222">
        <v>0</v>
      </c>
      <c r="HI222">
        <v>20</v>
      </c>
      <c r="HJ222" s="26" t="s">
        <v>1358</v>
      </c>
      <c r="HK222" t="s">
        <v>1</v>
      </c>
      <c r="HL222" t="s">
        <v>1</v>
      </c>
      <c r="HM222" t="s">
        <v>1</v>
      </c>
      <c r="HN222" t="s">
        <v>1</v>
      </c>
      <c r="HO222" t="s">
        <v>1</v>
      </c>
      <c r="HP222" t="s">
        <v>1</v>
      </c>
      <c r="HZ222" t="s">
        <v>969</v>
      </c>
      <c r="IA222">
        <v>90</v>
      </c>
      <c r="IB222" s="10" t="s">
        <v>1</v>
      </c>
      <c r="IC222" s="10"/>
      <c r="ID222" s="10"/>
      <c r="IE222" s="10" t="s">
        <v>1</v>
      </c>
      <c r="IF222" s="10" t="s">
        <v>1</v>
      </c>
      <c r="IG222" s="10"/>
      <c r="IH222" s="10"/>
      <c r="II222" s="10"/>
      <c r="IJ222" s="10"/>
      <c r="IK222" s="10"/>
      <c r="IL222" s="10"/>
      <c r="IM222" s="10"/>
      <c r="IN222" s="10"/>
      <c r="IO222" s="10"/>
      <c r="IP222" s="10"/>
      <c r="IQ222" s="10"/>
      <c r="IR222" s="10"/>
      <c r="IS222" t="s">
        <v>1</v>
      </c>
      <c r="IT222" t="s">
        <v>1</v>
      </c>
      <c r="IW222" t="s">
        <v>1</v>
      </c>
      <c r="IX222" t="s">
        <v>1</v>
      </c>
      <c r="IY222" t="s">
        <v>1</v>
      </c>
      <c r="IZ222" t="s">
        <v>1</v>
      </c>
      <c r="JA222" t="s">
        <v>1</v>
      </c>
      <c r="JB222" s="3" t="s">
        <v>1</v>
      </c>
      <c r="JC222" t="s">
        <v>1</v>
      </c>
      <c r="JD222" s="4" t="s">
        <v>1</v>
      </c>
      <c r="JE222" t="s">
        <v>1</v>
      </c>
      <c r="JF222" t="s">
        <v>1</v>
      </c>
      <c r="JR222" t="s">
        <v>1066</v>
      </c>
      <c r="JS222">
        <v>32.6</v>
      </c>
      <c r="JU222" t="s">
        <v>1</v>
      </c>
      <c r="JW222" t="s">
        <v>1</v>
      </c>
      <c r="JX222">
        <v>0</v>
      </c>
      <c r="JY222">
        <v>60</v>
      </c>
      <c r="JZ222" t="s">
        <v>798</v>
      </c>
      <c r="KA222" t="s">
        <v>225</v>
      </c>
      <c r="KB222" t="s">
        <v>738</v>
      </c>
      <c r="KC222" t="s">
        <v>1</v>
      </c>
      <c r="KD222" t="s">
        <v>1</v>
      </c>
      <c r="KE222" t="s">
        <v>1</v>
      </c>
      <c r="KF222" t="s">
        <v>1</v>
      </c>
      <c r="KG222" t="s">
        <v>1</v>
      </c>
      <c r="KH222" t="s">
        <v>1</v>
      </c>
      <c r="KI222" t="s">
        <v>1</v>
      </c>
      <c r="KJ222" t="s">
        <v>1</v>
      </c>
      <c r="KK222" t="s">
        <v>1</v>
      </c>
    </row>
    <row r="223" spans="1:297" x14ac:dyDescent="0.2">
      <c r="A223">
        <v>191</v>
      </c>
      <c r="B223" t="s">
        <v>705</v>
      </c>
      <c r="C223" t="s">
        <v>227</v>
      </c>
      <c r="D223" t="s">
        <v>222</v>
      </c>
      <c r="E223">
        <v>31</v>
      </c>
      <c r="F223" t="s">
        <v>223</v>
      </c>
      <c r="G223" t="s">
        <v>1</v>
      </c>
      <c r="H223" s="26" t="s">
        <v>1420</v>
      </c>
      <c r="I223" t="s">
        <v>1</v>
      </c>
      <c r="J223" t="s">
        <v>1</v>
      </c>
      <c r="K223" t="s">
        <v>1</v>
      </c>
      <c r="L223" t="s">
        <v>1</v>
      </c>
      <c r="M223" t="s">
        <v>1</v>
      </c>
      <c r="N223" t="s">
        <v>1</v>
      </c>
      <c r="O223" t="s">
        <v>1</v>
      </c>
      <c r="P223" t="s">
        <v>1</v>
      </c>
      <c r="Q223" t="s">
        <v>1</v>
      </c>
      <c r="R223" t="s">
        <v>1</v>
      </c>
      <c r="S223" t="s">
        <v>1</v>
      </c>
      <c r="T223" t="s">
        <v>1</v>
      </c>
      <c r="U223" t="s">
        <v>1</v>
      </c>
      <c r="V223" t="s">
        <v>1</v>
      </c>
      <c r="W223" t="s">
        <v>1</v>
      </c>
      <c r="X223" t="s">
        <v>1</v>
      </c>
      <c r="Y223" t="s">
        <v>1</v>
      </c>
      <c r="Z223" t="s">
        <v>1</v>
      </c>
      <c r="AA223" t="s">
        <v>1</v>
      </c>
      <c r="AB223" t="s">
        <v>1</v>
      </c>
      <c r="AC223" t="s">
        <v>1</v>
      </c>
      <c r="AD223" t="s">
        <v>1</v>
      </c>
      <c r="AE223" t="s">
        <v>1</v>
      </c>
      <c r="AF223" t="s">
        <v>1</v>
      </c>
      <c r="AG223" t="s">
        <v>1</v>
      </c>
      <c r="AH223" t="s">
        <v>1</v>
      </c>
      <c r="AI223" t="s">
        <v>1</v>
      </c>
      <c r="AJ223" t="s">
        <v>1</v>
      </c>
      <c r="AK223" t="s">
        <v>1</v>
      </c>
      <c r="AL223" t="s">
        <v>1</v>
      </c>
      <c r="AM223" t="s">
        <v>1</v>
      </c>
      <c r="AN223">
        <v>191</v>
      </c>
      <c r="AO223">
        <f t="shared" si="25"/>
        <v>191</v>
      </c>
      <c r="AP223">
        <f t="shared" si="26"/>
        <v>31</v>
      </c>
      <c r="AQ223">
        <f t="shared" si="27"/>
        <v>31</v>
      </c>
      <c r="AR223" s="26" t="s">
        <v>1355</v>
      </c>
      <c r="AS223" s="26" t="s">
        <v>1356</v>
      </c>
      <c r="AT223" t="s">
        <v>710</v>
      </c>
      <c r="AU223" t="s">
        <v>1</v>
      </c>
      <c r="AV223" t="s">
        <v>1</v>
      </c>
      <c r="AW223">
        <v>30.83</v>
      </c>
      <c r="AX223">
        <v>120.67</v>
      </c>
      <c r="AY223" t="s">
        <v>737</v>
      </c>
      <c r="BA223" s="3">
        <v>3</v>
      </c>
      <c r="BB223" s="3"/>
      <c r="BC223" s="3"/>
      <c r="BD223" s="3"/>
      <c r="BE223" s="3"/>
      <c r="BF223">
        <v>2004</v>
      </c>
      <c r="BG223" s="24" t="s">
        <v>733</v>
      </c>
      <c r="BH223" s="24" t="s">
        <v>733</v>
      </c>
      <c r="BI223" s="24" t="s">
        <v>733</v>
      </c>
      <c r="BJ223" s="24" t="s">
        <v>732</v>
      </c>
      <c r="BK223" s="24" t="s">
        <v>733</v>
      </c>
      <c r="BL223" s="25" t="s">
        <v>733</v>
      </c>
      <c r="BM223" s="24" t="s">
        <v>733</v>
      </c>
      <c r="BN223" s="24" t="s">
        <v>732</v>
      </c>
      <c r="BO223" s="24" t="s">
        <v>733</v>
      </c>
      <c r="BP223" s="24" t="s">
        <v>733</v>
      </c>
      <c r="BQ223" s="24" t="s">
        <v>945</v>
      </c>
      <c r="BR223" s="24" t="s">
        <v>945</v>
      </c>
      <c r="BS223" s="25" t="s">
        <v>934</v>
      </c>
      <c r="BT223" s="24" t="s">
        <v>934</v>
      </c>
      <c r="BU223" s="24" t="s">
        <v>934</v>
      </c>
      <c r="BV223" s="24" t="s">
        <v>934</v>
      </c>
      <c r="BW223" s="24" t="s">
        <v>934</v>
      </c>
      <c r="BX223" s="24" t="s">
        <v>934</v>
      </c>
      <c r="BY223" s="25" t="s">
        <v>945</v>
      </c>
      <c r="BZ223" t="s">
        <v>62</v>
      </c>
      <c r="CB223" t="s">
        <v>63</v>
      </c>
      <c r="CC223" s="4">
        <f>4250*0.89</f>
        <v>3782.5</v>
      </c>
      <c r="CD223" s="4"/>
      <c r="CE223" s="4"/>
      <c r="CF223" t="s">
        <v>793</v>
      </c>
      <c r="CG223">
        <v>100</v>
      </c>
      <c r="CH223" t="s">
        <v>805</v>
      </c>
      <c r="CI223" s="28">
        <v>1.7</v>
      </c>
      <c r="CJ223" s="10" t="s">
        <v>1442</v>
      </c>
      <c r="CK223" s="9" t="s">
        <v>1</v>
      </c>
      <c r="CL223" s="34" t="s">
        <v>1</v>
      </c>
      <c r="CM223" s="34" t="s">
        <v>1</v>
      </c>
      <c r="CN223" s="34" t="s">
        <v>1</v>
      </c>
      <c r="CO223" s="4" t="s">
        <v>1</v>
      </c>
      <c r="CP223" s="4" t="s">
        <v>1</v>
      </c>
      <c r="CQ223" s="4" t="s">
        <v>1</v>
      </c>
      <c r="CR223" s="4" t="s">
        <v>1</v>
      </c>
      <c r="CS223" s="4" t="s">
        <v>1</v>
      </c>
      <c r="CT223" s="4" t="s">
        <v>1</v>
      </c>
      <c r="CU223" s="4" t="s">
        <v>1</v>
      </c>
      <c r="CV223" t="s">
        <v>849</v>
      </c>
      <c r="CW223">
        <v>100</v>
      </c>
      <c r="CX223">
        <v>0</v>
      </c>
      <c r="CY223">
        <v>20</v>
      </c>
      <c r="CZ223" s="26" t="s">
        <v>1358</v>
      </c>
      <c r="DA223" t="s">
        <v>734</v>
      </c>
      <c r="DB223">
        <v>21.1</v>
      </c>
      <c r="DC223">
        <v>0</v>
      </c>
      <c r="DD223">
        <v>20</v>
      </c>
      <c r="DE223" s="26" t="s">
        <v>1358</v>
      </c>
      <c r="DF223" t="s">
        <v>735</v>
      </c>
      <c r="DG223">
        <v>35.200000000000003</v>
      </c>
      <c r="DH223">
        <v>0</v>
      </c>
      <c r="DI223">
        <v>20</v>
      </c>
      <c r="DJ223" s="26" t="s">
        <v>1358</v>
      </c>
      <c r="DK223" t="s">
        <v>736</v>
      </c>
      <c r="DL223">
        <v>43.6</v>
      </c>
      <c r="DM223">
        <v>0</v>
      </c>
      <c r="DN223">
        <v>20</v>
      </c>
      <c r="DO223" s="26" t="s">
        <v>1358</v>
      </c>
      <c r="DP223" t="s">
        <v>6</v>
      </c>
      <c r="DQ223" t="s">
        <v>1</v>
      </c>
      <c r="DR223">
        <v>6.8</v>
      </c>
      <c r="DS223">
        <v>0</v>
      </c>
      <c r="DT223">
        <v>20</v>
      </c>
      <c r="DU223" s="26" t="s">
        <v>1358</v>
      </c>
      <c r="EA223" t="s">
        <v>982</v>
      </c>
      <c r="EB223">
        <v>20.299999999999997</v>
      </c>
      <c r="EC223">
        <v>0</v>
      </c>
      <c r="ED223">
        <v>20</v>
      </c>
      <c r="EE223" s="26" t="s">
        <v>1358</v>
      </c>
      <c r="EF223" s="26"/>
      <c r="FZ223" t="s">
        <v>806</v>
      </c>
      <c r="GA223">
        <v>406</v>
      </c>
      <c r="GE223" s="26" t="s">
        <v>1358</v>
      </c>
      <c r="HA223" s="5" t="s">
        <v>1069</v>
      </c>
      <c r="HB223" s="4">
        <v>8.1</v>
      </c>
      <c r="HC223">
        <v>0</v>
      </c>
      <c r="HD223">
        <v>20</v>
      </c>
      <c r="HE223" s="26" t="s">
        <v>1358</v>
      </c>
      <c r="HF223" s="5" t="s">
        <v>1063</v>
      </c>
      <c r="HG223" s="4">
        <v>2.7519999999999998</v>
      </c>
      <c r="HH223">
        <v>0</v>
      </c>
      <c r="HI223">
        <v>20</v>
      </c>
      <c r="HJ223" s="26" t="s">
        <v>1358</v>
      </c>
      <c r="HK223" t="s">
        <v>1</v>
      </c>
      <c r="HL223" t="s">
        <v>1</v>
      </c>
      <c r="HM223" t="s">
        <v>1</v>
      </c>
      <c r="HN223" t="s">
        <v>1</v>
      </c>
      <c r="HO223" t="s">
        <v>1</v>
      </c>
      <c r="HP223" t="s">
        <v>1</v>
      </c>
      <c r="HZ223" t="s">
        <v>969</v>
      </c>
      <c r="IA223">
        <v>180</v>
      </c>
      <c r="IB223" s="10" t="s">
        <v>1</v>
      </c>
      <c r="IC223" s="10"/>
      <c r="ID223" s="10"/>
      <c r="IE223" s="10" t="s">
        <v>1</v>
      </c>
      <c r="IF223" s="10" t="s">
        <v>1</v>
      </c>
      <c r="IG223" s="10"/>
      <c r="IH223" s="10"/>
      <c r="II223" s="10"/>
      <c r="IJ223" s="10"/>
      <c r="IK223" s="10"/>
      <c r="IL223" s="10"/>
      <c r="IM223" s="10"/>
      <c r="IN223" s="10"/>
      <c r="IO223" s="10"/>
      <c r="IP223" s="10"/>
      <c r="IQ223" s="10"/>
      <c r="IR223" s="10"/>
      <c r="IS223" t="s">
        <v>1</v>
      </c>
      <c r="IT223" t="s">
        <v>1</v>
      </c>
      <c r="IW223" t="s">
        <v>1</v>
      </c>
      <c r="IX223" t="s">
        <v>1</v>
      </c>
      <c r="IY223" t="s">
        <v>1</v>
      </c>
      <c r="IZ223" t="s">
        <v>1</v>
      </c>
      <c r="JA223" t="s">
        <v>1</v>
      </c>
      <c r="JB223" s="3" t="s">
        <v>1</v>
      </c>
      <c r="JC223" t="s">
        <v>1</v>
      </c>
      <c r="JD223" s="4" t="s">
        <v>1</v>
      </c>
      <c r="JE223" t="s">
        <v>1</v>
      </c>
      <c r="JF223" t="s">
        <v>1</v>
      </c>
      <c r="JR223" t="s">
        <v>1066</v>
      </c>
      <c r="JS223">
        <v>46.7</v>
      </c>
      <c r="JU223" t="s">
        <v>1</v>
      </c>
      <c r="JW223" t="s">
        <v>1</v>
      </c>
      <c r="JX223">
        <v>0</v>
      </c>
      <c r="JY223">
        <v>60</v>
      </c>
      <c r="JZ223" t="s">
        <v>798</v>
      </c>
      <c r="KA223" t="s">
        <v>225</v>
      </c>
      <c r="KB223" t="s">
        <v>738</v>
      </c>
      <c r="KC223" t="s">
        <v>1</v>
      </c>
      <c r="KD223" t="s">
        <v>1</v>
      </c>
      <c r="KE223" t="s">
        <v>1</v>
      </c>
      <c r="KF223" t="s">
        <v>1</v>
      </c>
      <c r="KG223" t="s">
        <v>1</v>
      </c>
      <c r="KH223" t="s">
        <v>1</v>
      </c>
      <c r="KI223" t="s">
        <v>1</v>
      </c>
      <c r="KJ223" t="s">
        <v>1</v>
      </c>
      <c r="KK223" t="s">
        <v>1</v>
      </c>
    </row>
    <row r="224" spans="1:297" x14ac:dyDescent="0.2">
      <c r="A224">
        <v>192</v>
      </c>
      <c r="B224" t="s">
        <v>705</v>
      </c>
      <c r="C224" t="s">
        <v>228</v>
      </c>
      <c r="D224" t="s">
        <v>222</v>
      </c>
      <c r="E224">
        <v>31</v>
      </c>
      <c r="F224" t="s">
        <v>223</v>
      </c>
      <c r="G224" t="s">
        <v>1</v>
      </c>
      <c r="H224" s="26" t="s">
        <v>1420</v>
      </c>
      <c r="I224" t="s">
        <v>1</v>
      </c>
      <c r="J224" t="s">
        <v>1</v>
      </c>
      <c r="K224" t="s">
        <v>1</v>
      </c>
      <c r="L224" t="s">
        <v>1</v>
      </c>
      <c r="M224" t="s">
        <v>1</v>
      </c>
      <c r="N224" t="s">
        <v>1</v>
      </c>
      <c r="O224" t="s">
        <v>1</v>
      </c>
      <c r="P224" t="s">
        <v>1</v>
      </c>
      <c r="Q224" t="s">
        <v>1</v>
      </c>
      <c r="R224" t="s">
        <v>1</v>
      </c>
      <c r="S224" t="s">
        <v>1</v>
      </c>
      <c r="T224" t="s">
        <v>1</v>
      </c>
      <c r="U224" t="s">
        <v>1</v>
      </c>
      <c r="V224" t="s">
        <v>1</v>
      </c>
      <c r="W224" t="s">
        <v>1</v>
      </c>
      <c r="X224" t="s">
        <v>1</v>
      </c>
      <c r="Y224" t="s">
        <v>1</v>
      </c>
      <c r="Z224" t="s">
        <v>1</v>
      </c>
      <c r="AA224" t="s">
        <v>1</v>
      </c>
      <c r="AB224" t="s">
        <v>1</v>
      </c>
      <c r="AC224" t="s">
        <v>1</v>
      </c>
      <c r="AD224" t="s">
        <v>1</v>
      </c>
      <c r="AE224" t="s">
        <v>1</v>
      </c>
      <c r="AF224" t="s">
        <v>1</v>
      </c>
      <c r="AG224" t="s">
        <v>1</v>
      </c>
      <c r="AH224" t="s">
        <v>1</v>
      </c>
      <c r="AI224" t="s">
        <v>1</v>
      </c>
      <c r="AJ224" t="s">
        <v>1</v>
      </c>
      <c r="AK224" t="s">
        <v>1</v>
      </c>
      <c r="AL224" t="s">
        <v>1</v>
      </c>
      <c r="AM224" t="s">
        <v>1</v>
      </c>
      <c r="AN224">
        <v>192</v>
      </c>
      <c r="AO224">
        <f t="shared" si="25"/>
        <v>192</v>
      </c>
      <c r="AP224">
        <f t="shared" si="26"/>
        <v>31</v>
      </c>
      <c r="AQ224">
        <f t="shared" si="27"/>
        <v>31</v>
      </c>
      <c r="AR224" s="26" t="s">
        <v>1355</v>
      </c>
      <c r="AS224" s="26" t="s">
        <v>1356</v>
      </c>
      <c r="AT224" t="s">
        <v>710</v>
      </c>
      <c r="AU224" t="s">
        <v>1</v>
      </c>
      <c r="AV224" t="s">
        <v>1</v>
      </c>
      <c r="AW224">
        <v>30.83</v>
      </c>
      <c r="AX224">
        <v>120.67</v>
      </c>
      <c r="AY224" t="s">
        <v>737</v>
      </c>
      <c r="BA224" s="3">
        <v>3</v>
      </c>
      <c r="BB224" s="3"/>
      <c r="BC224" s="3"/>
      <c r="BD224" s="3"/>
      <c r="BE224" s="3"/>
      <c r="BF224">
        <v>2004</v>
      </c>
      <c r="BG224" s="24" t="s">
        <v>733</v>
      </c>
      <c r="BH224" s="24" t="s">
        <v>733</v>
      </c>
      <c r="BI224" s="24" t="s">
        <v>733</v>
      </c>
      <c r="BJ224" s="24" t="s">
        <v>732</v>
      </c>
      <c r="BK224" s="24" t="s">
        <v>733</v>
      </c>
      <c r="BL224" s="25" t="s">
        <v>733</v>
      </c>
      <c r="BM224" s="24" t="s">
        <v>733</v>
      </c>
      <c r="BN224" s="24" t="s">
        <v>732</v>
      </c>
      <c r="BO224" s="24" t="s">
        <v>733</v>
      </c>
      <c r="BP224" s="24" t="s">
        <v>733</v>
      </c>
      <c r="BQ224" s="24" t="s">
        <v>945</v>
      </c>
      <c r="BR224" s="24" t="s">
        <v>945</v>
      </c>
      <c r="BS224" s="25" t="s">
        <v>934</v>
      </c>
      <c r="BT224" s="24" t="s">
        <v>934</v>
      </c>
      <c r="BU224" s="24" t="s">
        <v>934</v>
      </c>
      <c r="BV224" s="24" t="s">
        <v>934</v>
      </c>
      <c r="BW224" s="24" t="s">
        <v>934</v>
      </c>
      <c r="BX224" s="24" t="s">
        <v>934</v>
      </c>
      <c r="BY224" s="25" t="s">
        <v>945</v>
      </c>
      <c r="BZ224" t="s">
        <v>62</v>
      </c>
      <c r="CB224" t="s">
        <v>63</v>
      </c>
      <c r="CC224" s="4">
        <f>4070*0.89</f>
        <v>3622.3</v>
      </c>
      <c r="CD224" s="4"/>
      <c r="CE224" s="4"/>
      <c r="CF224" t="s">
        <v>793</v>
      </c>
      <c r="CG224">
        <v>100</v>
      </c>
      <c r="CH224" t="s">
        <v>805</v>
      </c>
      <c r="CI224" s="28">
        <v>1.7</v>
      </c>
      <c r="CJ224" s="10" t="s">
        <v>1442</v>
      </c>
      <c r="CK224" s="9" t="s">
        <v>1</v>
      </c>
      <c r="CL224" s="34" t="s">
        <v>1</v>
      </c>
      <c r="CM224" s="34" t="s">
        <v>1</v>
      </c>
      <c r="CN224" s="34" t="s">
        <v>1</v>
      </c>
      <c r="CO224" s="4" t="s">
        <v>1</v>
      </c>
      <c r="CP224" s="4" t="s">
        <v>1</v>
      </c>
      <c r="CQ224" s="4" t="s">
        <v>1</v>
      </c>
      <c r="CR224" s="4" t="s">
        <v>1</v>
      </c>
      <c r="CS224" s="4" t="s">
        <v>1</v>
      </c>
      <c r="CT224" s="4" t="s">
        <v>1</v>
      </c>
      <c r="CU224" s="4" t="s">
        <v>1</v>
      </c>
      <c r="CV224" t="s">
        <v>849</v>
      </c>
      <c r="CW224">
        <v>100</v>
      </c>
      <c r="CX224">
        <v>0</v>
      </c>
      <c r="CY224">
        <v>20</v>
      </c>
      <c r="CZ224" s="26" t="s">
        <v>1358</v>
      </c>
      <c r="DA224" t="s">
        <v>734</v>
      </c>
      <c r="DB224">
        <v>21.1</v>
      </c>
      <c r="DC224">
        <v>0</v>
      </c>
      <c r="DD224">
        <v>20</v>
      </c>
      <c r="DE224" s="26" t="s">
        <v>1358</v>
      </c>
      <c r="DF224" t="s">
        <v>735</v>
      </c>
      <c r="DG224">
        <v>35.200000000000003</v>
      </c>
      <c r="DH224">
        <v>0</v>
      </c>
      <c r="DI224">
        <v>20</v>
      </c>
      <c r="DJ224" s="26" t="s">
        <v>1358</v>
      </c>
      <c r="DK224" t="s">
        <v>736</v>
      </c>
      <c r="DL224">
        <v>43.6</v>
      </c>
      <c r="DM224">
        <v>0</v>
      </c>
      <c r="DN224">
        <v>20</v>
      </c>
      <c r="DO224" s="26" t="s">
        <v>1358</v>
      </c>
      <c r="DP224" t="s">
        <v>6</v>
      </c>
      <c r="DQ224" t="s">
        <v>1</v>
      </c>
      <c r="DR224">
        <v>6.8</v>
      </c>
      <c r="DS224">
        <v>0</v>
      </c>
      <c r="DT224">
        <v>20</v>
      </c>
      <c r="DU224" s="26" t="s">
        <v>1358</v>
      </c>
      <c r="EA224" t="s">
        <v>982</v>
      </c>
      <c r="EB224">
        <v>20.299999999999997</v>
      </c>
      <c r="EC224">
        <v>0</v>
      </c>
      <c r="ED224">
        <v>20</v>
      </c>
      <c r="EE224" s="26" t="s">
        <v>1358</v>
      </c>
      <c r="EF224" s="26"/>
      <c r="FZ224" t="s">
        <v>806</v>
      </c>
      <c r="GA224">
        <v>406</v>
      </c>
      <c r="GE224" s="26" t="s">
        <v>1358</v>
      </c>
      <c r="HA224" s="5" t="s">
        <v>1069</v>
      </c>
      <c r="HB224" s="4">
        <v>8.1</v>
      </c>
      <c r="HC224">
        <v>0</v>
      </c>
      <c r="HD224">
        <v>20</v>
      </c>
      <c r="HE224" s="26" t="s">
        <v>1358</v>
      </c>
      <c r="HF224" s="5" t="s">
        <v>1063</v>
      </c>
      <c r="HG224" s="4">
        <v>2.7519999999999998</v>
      </c>
      <c r="HH224">
        <v>0</v>
      </c>
      <c r="HI224">
        <v>20</v>
      </c>
      <c r="HJ224" s="26" t="s">
        <v>1358</v>
      </c>
      <c r="HK224" t="s">
        <v>1</v>
      </c>
      <c r="HL224" t="s">
        <v>1</v>
      </c>
      <c r="HM224" t="s">
        <v>1</v>
      </c>
      <c r="HN224" t="s">
        <v>1</v>
      </c>
      <c r="HO224" t="s">
        <v>1</v>
      </c>
      <c r="HP224" t="s">
        <v>1</v>
      </c>
      <c r="HZ224" t="s">
        <v>969</v>
      </c>
      <c r="IA224">
        <v>270</v>
      </c>
      <c r="IB224" s="10" t="s">
        <v>1</v>
      </c>
      <c r="IC224" s="10"/>
      <c r="ID224" s="10"/>
      <c r="IE224" s="10" t="s">
        <v>1</v>
      </c>
      <c r="IF224" s="10" t="s">
        <v>1</v>
      </c>
      <c r="IG224" s="10"/>
      <c r="IH224" s="10"/>
      <c r="II224" s="10"/>
      <c r="IJ224" s="10"/>
      <c r="IK224" s="10"/>
      <c r="IL224" s="10"/>
      <c r="IM224" s="10"/>
      <c r="IN224" s="10"/>
      <c r="IO224" s="10"/>
      <c r="IP224" s="10"/>
      <c r="IQ224" s="10"/>
      <c r="IR224" s="10"/>
      <c r="IS224" t="s">
        <v>1</v>
      </c>
      <c r="IT224" t="s">
        <v>1</v>
      </c>
      <c r="IW224" t="s">
        <v>1</v>
      </c>
      <c r="IX224" t="s">
        <v>1</v>
      </c>
      <c r="IY224" t="s">
        <v>1</v>
      </c>
      <c r="IZ224" t="s">
        <v>1</v>
      </c>
      <c r="JA224" t="s">
        <v>1</v>
      </c>
      <c r="JB224" s="3" t="s">
        <v>1</v>
      </c>
      <c r="JC224" t="s">
        <v>1</v>
      </c>
      <c r="JD224" s="4" t="s">
        <v>1</v>
      </c>
      <c r="JE224" t="s">
        <v>1</v>
      </c>
      <c r="JF224" t="s">
        <v>1</v>
      </c>
      <c r="JR224" t="s">
        <v>1066</v>
      </c>
      <c r="JS224">
        <v>57.9</v>
      </c>
      <c r="JU224" t="s">
        <v>1</v>
      </c>
      <c r="JW224" t="s">
        <v>1</v>
      </c>
      <c r="JX224">
        <v>0</v>
      </c>
      <c r="JY224">
        <v>60</v>
      </c>
      <c r="JZ224" t="s">
        <v>798</v>
      </c>
      <c r="KA224" t="s">
        <v>225</v>
      </c>
      <c r="KB224" t="s">
        <v>738</v>
      </c>
      <c r="KC224" t="s">
        <v>1</v>
      </c>
      <c r="KD224" t="s">
        <v>1</v>
      </c>
      <c r="KE224" t="s">
        <v>1</v>
      </c>
      <c r="KF224" t="s">
        <v>1</v>
      </c>
      <c r="KG224" t="s">
        <v>1</v>
      </c>
      <c r="KH224" t="s">
        <v>1</v>
      </c>
      <c r="KI224" t="s">
        <v>1</v>
      </c>
      <c r="KJ224" t="s">
        <v>1</v>
      </c>
      <c r="KK224" t="s">
        <v>1</v>
      </c>
    </row>
    <row r="225" spans="1:297" x14ac:dyDescent="0.2">
      <c r="A225">
        <v>193</v>
      </c>
      <c r="B225" t="s">
        <v>705</v>
      </c>
      <c r="C225" t="s">
        <v>229</v>
      </c>
      <c r="D225" t="s">
        <v>222</v>
      </c>
      <c r="E225">
        <v>31</v>
      </c>
      <c r="F225" t="s">
        <v>223</v>
      </c>
      <c r="G225" t="s">
        <v>1</v>
      </c>
      <c r="H225" s="26" t="s">
        <v>1420</v>
      </c>
      <c r="I225" t="s">
        <v>1</v>
      </c>
      <c r="J225" t="s">
        <v>1</v>
      </c>
      <c r="K225" t="s">
        <v>1</v>
      </c>
      <c r="L225" t="s">
        <v>1</v>
      </c>
      <c r="M225" t="s">
        <v>1</v>
      </c>
      <c r="N225" t="s">
        <v>1</v>
      </c>
      <c r="O225" t="s">
        <v>1</v>
      </c>
      <c r="P225" t="s">
        <v>1</v>
      </c>
      <c r="Q225" t="s">
        <v>1</v>
      </c>
      <c r="R225" t="s">
        <v>1</v>
      </c>
      <c r="S225" t="s">
        <v>1</v>
      </c>
      <c r="T225" t="s">
        <v>1</v>
      </c>
      <c r="U225" t="s">
        <v>1</v>
      </c>
      <c r="V225" t="s">
        <v>1</v>
      </c>
      <c r="W225" t="s">
        <v>1</v>
      </c>
      <c r="X225" t="s">
        <v>1</v>
      </c>
      <c r="Y225" t="s">
        <v>1</v>
      </c>
      <c r="Z225" t="s">
        <v>1</v>
      </c>
      <c r="AA225" t="s">
        <v>1</v>
      </c>
      <c r="AB225" t="s">
        <v>1</v>
      </c>
      <c r="AC225" t="s">
        <v>1</v>
      </c>
      <c r="AD225" t="s">
        <v>1</v>
      </c>
      <c r="AE225" t="s">
        <v>1</v>
      </c>
      <c r="AF225" t="s">
        <v>1</v>
      </c>
      <c r="AG225" t="s">
        <v>1</v>
      </c>
      <c r="AH225" t="s">
        <v>1</v>
      </c>
      <c r="AI225" t="s">
        <v>1</v>
      </c>
      <c r="AJ225" t="s">
        <v>1</v>
      </c>
      <c r="AK225" t="s">
        <v>1</v>
      </c>
      <c r="AL225" t="s">
        <v>1</v>
      </c>
      <c r="AM225" t="s">
        <v>1</v>
      </c>
      <c r="AN225">
        <v>193</v>
      </c>
      <c r="AO225">
        <f t="shared" si="25"/>
        <v>193</v>
      </c>
      <c r="AP225">
        <f t="shared" si="26"/>
        <v>31</v>
      </c>
      <c r="AQ225">
        <f t="shared" si="27"/>
        <v>31</v>
      </c>
      <c r="AR225" s="26" t="s">
        <v>1355</v>
      </c>
      <c r="AS225" s="26" t="s">
        <v>1356</v>
      </c>
      <c r="AT225" t="s">
        <v>710</v>
      </c>
      <c r="AU225" t="s">
        <v>1</v>
      </c>
      <c r="AV225" t="s">
        <v>1</v>
      </c>
      <c r="AW225">
        <v>30.83</v>
      </c>
      <c r="AX225">
        <v>120.67</v>
      </c>
      <c r="AY225" t="s">
        <v>737</v>
      </c>
      <c r="BA225" s="3">
        <v>3</v>
      </c>
      <c r="BB225" s="3"/>
      <c r="BC225" s="3"/>
      <c r="BD225" s="3"/>
      <c r="BE225" s="3"/>
      <c r="BF225">
        <v>2004</v>
      </c>
      <c r="BG225" s="24" t="s">
        <v>733</v>
      </c>
      <c r="BH225" s="24" t="s">
        <v>733</v>
      </c>
      <c r="BI225" s="24" t="s">
        <v>733</v>
      </c>
      <c r="BJ225" s="24" t="s">
        <v>732</v>
      </c>
      <c r="BK225" s="24" t="s">
        <v>733</v>
      </c>
      <c r="BL225" s="25" t="s">
        <v>733</v>
      </c>
      <c r="BM225" s="24" t="s">
        <v>733</v>
      </c>
      <c r="BN225" s="24" t="s">
        <v>732</v>
      </c>
      <c r="BO225" s="24" t="s">
        <v>733</v>
      </c>
      <c r="BP225" s="24" t="s">
        <v>733</v>
      </c>
      <c r="BQ225" s="24" t="s">
        <v>945</v>
      </c>
      <c r="BR225" s="24" t="s">
        <v>945</v>
      </c>
      <c r="BS225" s="25" t="s">
        <v>934</v>
      </c>
      <c r="BT225" s="24" t="s">
        <v>934</v>
      </c>
      <c r="BU225" s="24" t="s">
        <v>934</v>
      </c>
      <c r="BV225" s="24" t="s">
        <v>934</v>
      </c>
      <c r="BW225" s="24" t="s">
        <v>934</v>
      </c>
      <c r="BX225" s="24" t="s">
        <v>934</v>
      </c>
      <c r="BY225" s="25" t="s">
        <v>945</v>
      </c>
      <c r="BZ225" t="s">
        <v>62</v>
      </c>
      <c r="CB225" t="s">
        <v>63</v>
      </c>
      <c r="CC225" s="4">
        <f>4020*0.89</f>
        <v>3577.8</v>
      </c>
      <c r="CD225" s="4"/>
      <c r="CE225" s="4"/>
      <c r="CF225" t="s">
        <v>793</v>
      </c>
      <c r="CG225">
        <v>100</v>
      </c>
      <c r="CH225" t="s">
        <v>805</v>
      </c>
      <c r="CI225" s="28">
        <v>1.7</v>
      </c>
      <c r="CJ225" s="10" t="s">
        <v>1442</v>
      </c>
      <c r="CK225" s="9" t="s">
        <v>1</v>
      </c>
      <c r="CL225" s="34" t="s">
        <v>1</v>
      </c>
      <c r="CM225" s="34" t="s">
        <v>1</v>
      </c>
      <c r="CN225" s="34" t="s">
        <v>1</v>
      </c>
      <c r="CO225" s="4" t="s">
        <v>1</v>
      </c>
      <c r="CP225" s="4" t="s">
        <v>1</v>
      </c>
      <c r="CQ225" s="4" t="s">
        <v>1</v>
      </c>
      <c r="CR225" s="4" t="s">
        <v>1</v>
      </c>
      <c r="CS225" s="4" t="s">
        <v>1</v>
      </c>
      <c r="CT225" s="4" t="s">
        <v>1</v>
      </c>
      <c r="CU225" s="4" t="s">
        <v>1</v>
      </c>
      <c r="CV225" t="s">
        <v>849</v>
      </c>
      <c r="CW225">
        <v>100</v>
      </c>
      <c r="CX225">
        <v>0</v>
      </c>
      <c r="CY225">
        <v>20</v>
      </c>
      <c r="CZ225" s="26" t="s">
        <v>1358</v>
      </c>
      <c r="DA225" t="s">
        <v>734</v>
      </c>
      <c r="DB225">
        <v>21.1</v>
      </c>
      <c r="DC225">
        <v>0</v>
      </c>
      <c r="DD225">
        <v>20</v>
      </c>
      <c r="DE225" s="26" t="s">
        <v>1358</v>
      </c>
      <c r="DF225" t="s">
        <v>735</v>
      </c>
      <c r="DG225">
        <v>35.200000000000003</v>
      </c>
      <c r="DH225">
        <v>0</v>
      </c>
      <c r="DI225">
        <v>20</v>
      </c>
      <c r="DJ225" s="26" t="s">
        <v>1358</v>
      </c>
      <c r="DK225" t="s">
        <v>736</v>
      </c>
      <c r="DL225">
        <v>43.6</v>
      </c>
      <c r="DM225">
        <v>0</v>
      </c>
      <c r="DN225">
        <v>20</v>
      </c>
      <c r="DO225" s="26" t="s">
        <v>1358</v>
      </c>
      <c r="DP225" t="s">
        <v>6</v>
      </c>
      <c r="DQ225" t="s">
        <v>1</v>
      </c>
      <c r="DR225">
        <v>6.8</v>
      </c>
      <c r="DS225">
        <v>0</v>
      </c>
      <c r="DT225">
        <v>20</v>
      </c>
      <c r="DU225" s="26" t="s">
        <v>1358</v>
      </c>
      <c r="EA225" t="s">
        <v>982</v>
      </c>
      <c r="EB225">
        <v>20.299999999999997</v>
      </c>
      <c r="EC225">
        <v>0</v>
      </c>
      <c r="ED225">
        <v>20</v>
      </c>
      <c r="EE225" s="26" t="s">
        <v>1358</v>
      </c>
      <c r="EF225" s="26"/>
      <c r="FZ225" t="s">
        <v>806</v>
      </c>
      <c r="GA225">
        <v>406</v>
      </c>
      <c r="GE225" s="26" t="s">
        <v>1358</v>
      </c>
      <c r="HA225" s="5" t="s">
        <v>1069</v>
      </c>
      <c r="HB225" s="4">
        <v>8.1</v>
      </c>
      <c r="HC225">
        <v>0</v>
      </c>
      <c r="HD225">
        <v>20</v>
      </c>
      <c r="HE225" s="26" t="s">
        <v>1358</v>
      </c>
      <c r="HF225" s="5" t="s">
        <v>1063</v>
      </c>
      <c r="HG225" s="4">
        <v>2.7519999999999998</v>
      </c>
      <c r="HH225">
        <v>0</v>
      </c>
      <c r="HI225">
        <v>20</v>
      </c>
      <c r="HJ225" s="26" t="s">
        <v>1358</v>
      </c>
      <c r="HK225" t="s">
        <v>1</v>
      </c>
      <c r="HL225" t="s">
        <v>1</v>
      </c>
      <c r="HM225" t="s">
        <v>1</v>
      </c>
      <c r="HN225" t="s">
        <v>1</v>
      </c>
      <c r="HO225" t="s">
        <v>1</v>
      </c>
      <c r="HP225" t="s">
        <v>1</v>
      </c>
      <c r="HZ225" t="s">
        <v>969</v>
      </c>
      <c r="IA225">
        <v>360</v>
      </c>
      <c r="IB225" s="10" t="s">
        <v>1</v>
      </c>
      <c r="IC225" s="10"/>
      <c r="ID225" s="10"/>
      <c r="IE225" s="10" t="s">
        <v>1</v>
      </c>
      <c r="IF225" s="10" t="s">
        <v>1</v>
      </c>
      <c r="IG225" s="10"/>
      <c r="IH225" s="10"/>
      <c r="II225" s="10"/>
      <c r="IJ225" s="10"/>
      <c r="IK225" s="10"/>
      <c r="IL225" s="10"/>
      <c r="IM225" s="10"/>
      <c r="IN225" s="10"/>
      <c r="IO225" s="10"/>
      <c r="IP225" s="10"/>
      <c r="IQ225" s="10"/>
      <c r="IR225" s="10"/>
      <c r="IS225" t="s">
        <v>1</v>
      </c>
      <c r="IT225" t="s">
        <v>1</v>
      </c>
      <c r="IW225" t="s">
        <v>1</v>
      </c>
      <c r="IX225" t="s">
        <v>1</v>
      </c>
      <c r="IY225" t="s">
        <v>1</v>
      </c>
      <c r="IZ225" t="s">
        <v>1</v>
      </c>
      <c r="JA225" t="s">
        <v>1</v>
      </c>
      <c r="JB225" s="3" t="s">
        <v>1</v>
      </c>
      <c r="JC225" t="s">
        <v>1</v>
      </c>
      <c r="JD225" s="4" t="s">
        <v>1</v>
      </c>
      <c r="JE225" t="s">
        <v>1</v>
      </c>
      <c r="JF225" t="s">
        <v>1</v>
      </c>
      <c r="JR225" t="s">
        <v>1066</v>
      </c>
      <c r="JS225">
        <v>69.400000000000006</v>
      </c>
      <c r="JU225" t="s">
        <v>1</v>
      </c>
      <c r="JW225" t="s">
        <v>1</v>
      </c>
      <c r="JX225">
        <v>0</v>
      </c>
      <c r="JY225">
        <v>60</v>
      </c>
      <c r="JZ225" t="s">
        <v>798</v>
      </c>
      <c r="KA225" t="s">
        <v>225</v>
      </c>
      <c r="KB225" t="s">
        <v>738</v>
      </c>
      <c r="KC225" t="s">
        <v>1</v>
      </c>
      <c r="KD225" t="s">
        <v>1</v>
      </c>
      <c r="KE225" t="s">
        <v>1</v>
      </c>
      <c r="KF225" t="s">
        <v>1</v>
      </c>
      <c r="KG225" t="s">
        <v>1</v>
      </c>
      <c r="KH225" t="s">
        <v>1</v>
      </c>
      <c r="KI225" t="s">
        <v>1</v>
      </c>
      <c r="KJ225" t="s">
        <v>1</v>
      </c>
      <c r="KK225" t="s">
        <v>1</v>
      </c>
    </row>
    <row r="226" spans="1:297" x14ac:dyDescent="0.2">
      <c r="A226">
        <v>194</v>
      </c>
      <c r="B226" t="s">
        <v>705</v>
      </c>
      <c r="C226" t="s">
        <v>231</v>
      </c>
      <c r="D226" t="s">
        <v>230</v>
      </c>
      <c r="E226">
        <v>32</v>
      </c>
      <c r="F226" t="s">
        <v>1321</v>
      </c>
      <c r="G226" t="s">
        <v>1</v>
      </c>
      <c r="H226" s="26" t="s">
        <v>1420</v>
      </c>
      <c r="I226" t="s">
        <v>1</v>
      </c>
      <c r="J226" t="s">
        <v>1</v>
      </c>
      <c r="K226" t="s">
        <v>1</v>
      </c>
      <c r="L226" t="s">
        <v>1</v>
      </c>
      <c r="M226" t="s">
        <v>1</v>
      </c>
      <c r="N226" t="s">
        <v>1</v>
      </c>
      <c r="O226" t="s">
        <v>1</v>
      </c>
      <c r="P226" t="s">
        <v>1</v>
      </c>
      <c r="Q226" t="s">
        <v>1</v>
      </c>
      <c r="R226" t="s">
        <v>1</v>
      </c>
      <c r="S226" t="s">
        <v>1</v>
      </c>
      <c r="T226" t="s">
        <v>1</v>
      </c>
      <c r="U226" t="s">
        <v>1</v>
      </c>
      <c r="V226" t="s">
        <v>1</v>
      </c>
      <c r="W226" t="s">
        <v>1</v>
      </c>
      <c r="X226" t="s">
        <v>1</v>
      </c>
      <c r="Y226" t="s">
        <v>1</v>
      </c>
      <c r="Z226" t="s">
        <v>1</v>
      </c>
      <c r="AA226" t="s">
        <v>1</v>
      </c>
      <c r="AB226" t="s">
        <v>1</v>
      </c>
      <c r="AC226" t="s">
        <v>1</v>
      </c>
      <c r="AD226" t="s">
        <v>1</v>
      </c>
      <c r="AE226" t="s">
        <v>1</v>
      </c>
      <c r="AF226" t="s">
        <v>1</v>
      </c>
      <c r="AG226" t="s">
        <v>1</v>
      </c>
      <c r="AH226" t="s">
        <v>1</v>
      </c>
      <c r="AI226" t="s">
        <v>1</v>
      </c>
      <c r="AJ226" t="s">
        <v>1</v>
      </c>
      <c r="AK226" t="s">
        <v>1</v>
      </c>
      <c r="AL226" t="s">
        <v>1</v>
      </c>
      <c r="AM226" t="s">
        <v>1</v>
      </c>
      <c r="AN226">
        <v>194</v>
      </c>
      <c r="AO226">
        <f t="shared" si="25"/>
        <v>194</v>
      </c>
      <c r="AP226">
        <f t="shared" si="26"/>
        <v>32</v>
      </c>
      <c r="AQ226">
        <f t="shared" si="27"/>
        <v>32</v>
      </c>
      <c r="AR226" s="26" t="s">
        <v>1355</v>
      </c>
      <c r="AS226" s="26" t="s">
        <v>1356</v>
      </c>
      <c r="AT226" t="s">
        <v>717</v>
      </c>
      <c r="AU226" t="s">
        <v>1</v>
      </c>
      <c r="AV226" t="s">
        <v>1</v>
      </c>
      <c r="AW226">
        <v>38.299999999999997</v>
      </c>
      <c r="AX226">
        <v>128.13999999999999</v>
      </c>
      <c r="AY226" t="s">
        <v>737</v>
      </c>
      <c r="BA226" s="3">
        <v>3</v>
      </c>
      <c r="BB226" s="3"/>
      <c r="BC226" s="3"/>
      <c r="BD226" s="3"/>
      <c r="BE226" s="3"/>
      <c r="BF226">
        <v>2010</v>
      </c>
      <c r="BG226" s="24" t="s">
        <v>733</v>
      </c>
      <c r="BH226" s="24" t="s">
        <v>733</v>
      </c>
      <c r="BI226" s="24" t="s">
        <v>733</v>
      </c>
      <c r="BJ226" s="24" t="s">
        <v>732</v>
      </c>
      <c r="BK226" s="24" t="s">
        <v>733</v>
      </c>
      <c r="BL226" s="25" t="s">
        <v>733</v>
      </c>
      <c r="BM226" s="24" t="s">
        <v>733</v>
      </c>
      <c r="BN226" s="24" t="s">
        <v>732</v>
      </c>
      <c r="BO226" s="24" t="s">
        <v>733</v>
      </c>
      <c r="BP226" s="24" t="s">
        <v>733</v>
      </c>
      <c r="BQ226" s="24" t="s">
        <v>945</v>
      </c>
      <c r="BR226" s="24" t="s">
        <v>945</v>
      </c>
      <c r="BS226" s="25" t="s">
        <v>934</v>
      </c>
      <c r="BT226" s="24" t="s">
        <v>934</v>
      </c>
      <c r="BU226" s="24" t="s">
        <v>934</v>
      </c>
      <c r="BV226" s="24" t="s">
        <v>934</v>
      </c>
      <c r="BW226" s="24" t="s">
        <v>934</v>
      </c>
      <c r="BX226" s="24" t="s">
        <v>934</v>
      </c>
      <c r="BY226" s="25" t="s">
        <v>945</v>
      </c>
      <c r="BZ226" t="s">
        <v>1411</v>
      </c>
      <c r="CB226" t="s">
        <v>1</v>
      </c>
      <c r="CC226" s="34" t="s">
        <v>1</v>
      </c>
      <c r="CD226" s="34"/>
      <c r="CE226" s="34"/>
      <c r="CF226" t="s">
        <v>1</v>
      </c>
      <c r="CG226" t="s">
        <v>1</v>
      </c>
      <c r="CH226" t="s">
        <v>805</v>
      </c>
      <c r="CI226" s="28">
        <v>0.6</v>
      </c>
      <c r="CJ226" s="9" t="s">
        <v>1</v>
      </c>
      <c r="CK226" s="9" t="s">
        <v>1</v>
      </c>
      <c r="CL226" s="34" t="s">
        <v>1</v>
      </c>
      <c r="CM226" t="s">
        <v>847</v>
      </c>
      <c r="CN226" s="4">
        <v>154</v>
      </c>
      <c r="CO226" s="4" t="s">
        <v>1</v>
      </c>
      <c r="CP226" s="4" t="s">
        <v>1</v>
      </c>
      <c r="CQ226" s="4" t="s">
        <v>1</v>
      </c>
      <c r="CR226" s="4" t="s">
        <v>1</v>
      </c>
      <c r="CS226" s="4" t="s">
        <v>1</v>
      </c>
      <c r="CT226" s="4" t="s">
        <v>1</v>
      </c>
      <c r="CU226" s="4" t="s">
        <v>1</v>
      </c>
      <c r="CV226" t="s">
        <v>852</v>
      </c>
      <c r="CW226">
        <v>100</v>
      </c>
      <c r="CX226">
        <v>0</v>
      </c>
      <c r="CY226">
        <v>30</v>
      </c>
      <c r="CZ226" s="26" t="s">
        <v>1358</v>
      </c>
      <c r="DA226" t="s">
        <v>734</v>
      </c>
      <c r="DB226">
        <v>79.7</v>
      </c>
      <c r="DC226">
        <v>0</v>
      </c>
      <c r="DD226">
        <v>30</v>
      </c>
      <c r="DE226" s="26" t="s">
        <v>1358</v>
      </c>
      <c r="DF226" t="s">
        <v>735</v>
      </c>
      <c r="DG226">
        <v>17</v>
      </c>
      <c r="DH226">
        <v>0</v>
      </c>
      <c r="DI226">
        <v>30</v>
      </c>
      <c r="DJ226" s="26" t="s">
        <v>1358</v>
      </c>
      <c r="DK226" t="s">
        <v>736</v>
      </c>
      <c r="DL226">
        <v>3.2</v>
      </c>
      <c r="DM226">
        <v>0</v>
      </c>
      <c r="DN226">
        <v>30</v>
      </c>
      <c r="DO226" s="26" t="s">
        <v>1358</v>
      </c>
      <c r="DP226" t="s">
        <v>1</v>
      </c>
      <c r="DQ226" t="s">
        <v>1</v>
      </c>
      <c r="DR226" t="s">
        <v>1</v>
      </c>
      <c r="DS226" t="s">
        <v>1</v>
      </c>
      <c r="DT226" t="s">
        <v>1</v>
      </c>
      <c r="DU226" t="s">
        <v>1</v>
      </c>
      <c r="EA226" t="s">
        <v>1</v>
      </c>
      <c r="EB226" t="s">
        <v>1</v>
      </c>
      <c r="EC226" t="s">
        <v>1</v>
      </c>
      <c r="ED226" t="s">
        <v>1</v>
      </c>
      <c r="EE226" t="s">
        <v>1</v>
      </c>
      <c r="FZ226" t="s">
        <v>806</v>
      </c>
      <c r="GA226">
        <v>734</v>
      </c>
      <c r="GE226" s="26" t="s">
        <v>1358</v>
      </c>
      <c r="HA226" s="5" t="s">
        <v>1</v>
      </c>
      <c r="HB226" s="4" t="s">
        <v>1</v>
      </c>
      <c r="HC226" t="s">
        <v>1</v>
      </c>
      <c r="HD226" t="s">
        <v>1</v>
      </c>
      <c r="HE226" t="s">
        <v>1</v>
      </c>
      <c r="HF226" s="5" t="s">
        <v>1</v>
      </c>
      <c r="HG226" s="4" t="s">
        <v>1</v>
      </c>
      <c r="HH226" t="s">
        <v>1</v>
      </c>
      <c r="HI226" t="s">
        <v>1</v>
      </c>
      <c r="HJ226" t="s">
        <v>1</v>
      </c>
      <c r="HK226" t="s">
        <v>815</v>
      </c>
      <c r="HL226" s="4">
        <v>1.48</v>
      </c>
      <c r="HM226">
        <v>0</v>
      </c>
      <c r="HN226">
        <v>30</v>
      </c>
      <c r="HO226" t="s">
        <v>1</v>
      </c>
      <c r="HP226" s="26" t="s">
        <v>1358</v>
      </c>
      <c r="HZ226" t="s">
        <v>969</v>
      </c>
      <c r="IA226">
        <v>106</v>
      </c>
      <c r="IB226" s="10" t="s">
        <v>1</v>
      </c>
      <c r="IC226" s="10"/>
      <c r="ID226" s="10"/>
      <c r="IE226" s="10" t="s">
        <v>1</v>
      </c>
      <c r="IF226" s="10" t="s">
        <v>1</v>
      </c>
      <c r="IG226" s="10"/>
      <c r="IH226" s="10"/>
      <c r="II226" s="10"/>
      <c r="IJ226" s="10"/>
      <c r="IK226" s="10"/>
      <c r="IL226" s="10"/>
      <c r="IM226" s="10"/>
      <c r="IN226" s="10"/>
      <c r="IO226" s="10"/>
      <c r="IP226" s="10"/>
      <c r="IQ226" s="10"/>
      <c r="IR226" s="10"/>
      <c r="IS226" t="s">
        <v>1</v>
      </c>
      <c r="IT226" t="s">
        <v>1</v>
      </c>
      <c r="IW226" t="s">
        <v>1</v>
      </c>
      <c r="IX226" t="s">
        <v>1</v>
      </c>
      <c r="IY226" t="s">
        <v>1</v>
      </c>
      <c r="IZ226" t="s">
        <v>1</v>
      </c>
      <c r="JA226" t="s">
        <v>1</v>
      </c>
      <c r="JB226" s="3" t="s">
        <v>1</v>
      </c>
      <c r="JC226" t="s">
        <v>1</v>
      </c>
      <c r="JD226" s="4" t="s">
        <v>1</v>
      </c>
      <c r="JE226" t="s">
        <v>810</v>
      </c>
      <c r="JF226">
        <v>100</v>
      </c>
      <c r="JR226" t="s">
        <v>1066</v>
      </c>
      <c r="JS226">
        <v>380.7</v>
      </c>
      <c r="JU226" t="s">
        <v>1</v>
      </c>
      <c r="JW226" t="s">
        <v>1</v>
      </c>
      <c r="JX226">
        <v>0</v>
      </c>
      <c r="JY226">
        <v>45</v>
      </c>
      <c r="JZ226" t="s">
        <v>800</v>
      </c>
      <c r="KA226" t="s">
        <v>232</v>
      </c>
      <c r="KB226" t="s">
        <v>738</v>
      </c>
      <c r="KC226" t="s">
        <v>1</v>
      </c>
      <c r="KD226" t="s">
        <v>1</v>
      </c>
      <c r="KE226" t="s">
        <v>1</v>
      </c>
      <c r="KF226" t="s">
        <v>1</v>
      </c>
      <c r="KG226" t="s">
        <v>1</v>
      </c>
      <c r="KH226" t="s">
        <v>1</v>
      </c>
      <c r="KI226" t="s">
        <v>1</v>
      </c>
      <c r="KJ226" t="s">
        <v>1</v>
      </c>
      <c r="KK226" t="s">
        <v>1</v>
      </c>
    </row>
    <row r="227" spans="1:297" x14ac:dyDescent="0.2">
      <c r="A227">
        <v>195</v>
      </c>
      <c r="B227" t="s">
        <v>705</v>
      </c>
      <c r="C227" t="s">
        <v>233</v>
      </c>
      <c r="D227" t="s">
        <v>230</v>
      </c>
      <c r="E227">
        <v>32</v>
      </c>
      <c r="F227" t="s">
        <v>1321</v>
      </c>
      <c r="G227" t="s">
        <v>1</v>
      </c>
      <c r="H227" s="26" t="s">
        <v>1420</v>
      </c>
      <c r="I227" t="s">
        <v>1</v>
      </c>
      <c r="J227" t="s">
        <v>1</v>
      </c>
      <c r="K227" t="s">
        <v>1</v>
      </c>
      <c r="L227" t="s">
        <v>1</v>
      </c>
      <c r="M227" t="s">
        <v>1</v>
      </c>
      <c r="N227" t="s">
        <v>1</v>
      </c>
      <c r="O227" t="s">
        <v>1</v>
      </c>
      <c r="P227" t="s">
        <v>1</v>
      </c>
      <c r="Q227" t="s">
        <v>1</v>
      </c>
      <c r="R227" t="s">
        <v>1</v>
      </c>
      <c r="S227" t="s">
        <v>1</v>
      </c>
      <c r="T227" t="s">
        <v>1</v>
      </c>
      <c r="U227" t="s">
        <v>1</v>
      </c>
      <c r="V227" t="s">
        <v>1</v>
      </c>
      <c r="W227" t="s">
        <v>1</v>
      </c>
      <c r="X227" t="s">
        <v>1</v>
      </c>
      <c r="Y227" t="s">
        <v>1</v>
      </c>
      <c r="Z227" t="s">
        <v>1</v>
      </c>
      <c r="AA227" t="s">
        <v>1</v>
      </c>
      <c r="AB227" t="s">
        <v>1</v>
      </c>
      <c r="AC227" t="s">
        <v>1</v>
      </c>
      <c r="AD227" t="s">
        <v>1</v>
      </c>
      <c r="AE227" t="s">
        <v>1</v>
      </c>
      <c r="AF227" t="s">
        <v>1</v>
      </c>
      <c r="AG227" t="s">
        <v>1</v>
      </c>
      <c r="AH227" t="s">
        <v>1</v>
      </c>
      <c r="AI227" t="s">
        <v>1</v>
      </c>
      <c r="AJ227" t="s">
        <v>1</v>
      </c>
      <c r="AK227" t="s">
        <v>1</v>
      </c>
      <c r="AL227" t="s">
        <v>1</v>
      </c>
      <c r="AM227" t="s">
        <v>1</v>
      </c>
      <c r="AN227">
        <v>195</v>
      </c>
      <c r="AO227">
        <f t="shared" si="25"/>
        <v>195</v>
      </c>
      <c r="AP227">
        <f t="shared" si="26"/>
        <v>32</v>
      </c>
      <c r="AQ227">
        <f t="shared" si="27"/>
        <v>32</v>
      </c>
      <c r="AR227" s="26" t="s">
        <v>1355</v>
      </c>
      <c r="AS227" s="26" t="s">
        <v>1356</v>
      </c>
      <c r="AT227" t="s">
        <v>717</v>
      </c>
      <c r="AU227" t="s">
        <v>1</v>
      </c>
      <c r="AV227" t="s">
        <v>1</v>
      </c>
      <c r="AW227">
        <v>38.299999999999997</v>
      </c>
      <c r="AX227">
        <v>128.13999999999999</v>
      </c>
      <c r="AY227" t="s">
        <v>737</v>
      </c>
      <c r="BA227" s="3">
        <v>3</v>
      </c>
      <c r="BB227" s="3"/>
      <c r="BC227" s="3"/>
      <c r="BD227" s="3"/>
      <c r="BE227" s="3"/>
      <c r="BF227">
        <v>2010</v>
      </c>
      <c r="BG227" s="24" t="s">
        <v>733</v>
      </c>
      <c r="BH227" s="24" t="s">
        <v>733</v>
      </c>
      <c r="BI227" s="24" t="s">
        <v>733</v>
      </c>
      <c r="BJ227" s="24" t="s">
        <v>732</v>
      </c>
      <c r="BK227" s="24" t="s">
        <v>733</v>
      </c>
      <c r="BL227" s="25" t="s">
        <v>733</v>
      </c>
      <c r="BM227" s="24" t="s">
        <v>733</v>
      </c>
      <c r="BN227" s="24" t="s">
        <v>732</v>
      </c>
      <c r="BO227" s="24" t="s">
        <v>733</v>
      </c>
      <c r="BP227" s="24" t="s">
        <v>733</v>
      </c>
      <c r="BQ227" s="24" t="s">
        <v>945</v>
      </c>
      <c r="BR227" s="24" t="s">
        <v>945</v>
      </c>
      <c r="BS227" s="25" t="s">
        <v>934</v>
      </c>
      <c r="BT227" s="24" t="s">
        <v>934</v>
      </c>
      <c r="BU227" s="24" t="s">
        <v>934</v>
      </c>
      <c r="BV227" s="24" t="s">
        <v>934</v>
      </c>
      <c r="BW227" s="24" t="s">
        <v>934</v>
      </c>
      <c r="BX227" s="24" t="s">
        <v>934</v>
      </c>
      <c r="BY227" s="25" t="s">
        <v>945</v>
      </c>
      <c r="BZ227" t="s">
        <v>1411</v>
      </c>
      <c r="CB227" t="s">
        <v>1</v>
      </c>
      <c r="CC227" s="34" t="s">
        <v>1</v>
      </c>
      <c r="CD227" s="34"/>
      <c r="CE227" s="34"/>
      <c r="CF227" t="s">
        <v>1</v>
      </c>
      <c r="CG227" t="s">
        <v>1</v>
      </c>
      <c r="CH227" t="s">
        <v>805</v>
      </c>
      <c r="CI227" s="28">
        <v>0.6</v>
      </c>
      <c r="CJ227" s="9" t="s">
        <v>1</v>
      </c>
      <c r="CK227" s="9" t="s">
        <v>1</v>
      </c>
      <c r="CL227" s="34" t="s">
        <v>1</v>
      </c>
      <c r="CM227" t="s">
        <v>847</v>
      </c>
      <c r="CN227" s="4">
        <v>187</v>
      </c>
      <c r="CO227" s="4" t="s">
        <v>1</v>
      </c>
      <c r="CP227" s="4" t="s">
        <v>1</v>
      </c>
      <c r="CQ227" s="4" t="s">
        <v>1</v>
      </c>
      <c r="CR227" s="4" t="s">
        <v>1</v>
      </c>
      <c r="CS227" s="4" t="s">
        <v>1</v>
      </c>
      <c r="CT227" s="4" t="s">
        <v>1</v>
      </c>
      <c r="CU227" s="4" t="s">
        <v>1</v>
      </c>
      <c r="CV227" t="s">
        <v>852</v>
      </c>
      <c r="CW227">
        <v>100</v>
      </c>
      <c r="CX227">
        <v>0</v>
      </c>
      <c r="CY227">
        <v>30</v>
      </c>
      <c r="CZ227" s="26" t="s">
        <v>1358</v>
      </c>
      <c r="DA227" t="s">
        <v>734</v>
      </c>
      <c r="DB227">
        <v>79.7</v>
      </c>
      <c r="DC227">
        <v>0</v>
      </c>
      <c r="DD227">
        <v>30</v>
      </c>
      <c r="DE227" s="26" t="s">
        <v>1358</v>
      </c>
      <c r="DF227" t="s">
        <v>735</v>
      </c>
      <c r="DG227">
        <v>17</v>
      </c>
      <c r="DH227">
        <v>0</v>
      </c>
      <c r="DI227">
        <v>30</v>
      </c>
      <c r="DJ227" s="26" t="s">
        <v>1358</v>
      </c>
      <c r="DK227" t="s">
        <v>736</v>
      </c>
      <c r="DL227">
        <v>3.2</v>
      </c>
      <c r="DM227">
        <v>0</v>
      </c>
      <c r="DN227">
        <v>30</v>
      </c>
      <c r="DO227" s="26" t="s">
        <v>1358</v>
      </c>
      <c r="DP227" t="s">
        <v>1</v>
      </c>
      <c r="DQ227" t="s">
        <v>1</v>
      </c>
      <c r="DR227" t="s">
        <v>1</v>
      </c>
      <c r="DS227" t="s">
        <v>1</v>
      </c>
      <c r="DT227" t="s">
        <v>1</v>
      </c>
      <c r="DU227" t="s">
        <v>1</v>
      </c>
      <c r="EA227" t="s">
        <v>1</v>
      </c>
      <c r="EB227" t="s">
        <v>1</v>
      </c>
      <c r="EC227" t="s">
        <v>1</v>
      </c>
      <c r="ED227" t="s">
        <v>1</v>
      </c>
      <c r="EE227" t="s">
        <v>1</v>
      </c>
      <c r="FZ227" t="s">
        <v>806</v>
      </c>
      <c r="GA227">
        <v>734</v>
      </c>
      <c r="GE227" s="26" t="s">
        <v>1358</v>
      </c>
      <c r="HA227" s="5" t="s">
        <v>1</v>
      </c>
      <c r="HB227" s="4" t="s">
        <v>1</v>
      </c>
      <c r="HC227" t="s">
        <v>1</v>
      </c>
      <c r="HD227" t="s">
        <v>1</v>
      </c>
      <c r="HE227" t="s">
        <v>1</v>
      </c>
      <c r="HF227" s="5" t="s">
        <v>1</v>
      </c>
      <c r="HG227" s="4" t="s">
        <v>1</v>
      </c>
      <c r="HH227" t="s">
        <v>1</v>
      </c>
      <c r="HI227" t="s">
        <v>1</v>
      </c>
      <c r="HJ227" t="s">
        <v>1</v>
      </c>
      <c r="HK227" t="s">
        <v>815</v>
      </c>
      <c r="HL227" s="4">
        <v>1.48</v>
      </c>
      <c r="HM227">
        <v>0</v>
      </c>
      <c r="HN227">
        <v>30</v>
      </c>
      <c r="HO227" t="s">
        <v>1</v>
      </c>
      <c r="HP227" s="26" t="s">
        <v>1358</v>
      </c>
      <c r="HZ227" t="s">
        <v>969</v>
      </c>
      <c r="IA227">
        <v>206</v>
      </c>
      <c r="IB227" s="10" t="s">
        <v>1</v>
      </c>
      <c r="IC227" s="10"/>
      <c r="ID227" s="10"/>
      <c r="IE227" s="10" t="s">
        <v>1</v>
      </c>
      <c r="IF227" s="10" t="s">
        <v>1</v>
      </c>
      <c r="IG227" s="10"/>
      <c r="IH227" s="10"/>
      <c r="II227" s="10"/>
      <c r="IJ227" s="10"/>
      <c r="IK227" s="10"/>
      <c r="IL227" s="10"/>
      <c r="IM227" s="10"/>
      <c r="IN227" s="10"/>
      <c r="IO227" s="10"/>
      <c r="IP227" s="10"/>
      <c r="IQ227" s="10"/>
      <c r="IR227" s="10"/>
      <c r="IS227" t="s">
        <v>1</v>
      </c>
      <c r="IT227" t="s">
        <v>1</v>
      </c>
      <c r="IW227" t="s">
        <v>1</v>
      </c>
      <c r="IX227" t="s">
        <v>1</v>
      </c>
      <c r="IY227" t="s">
        <v>1</v>
      </c>
      <c r="IZ227" t="s">
        <v>1</v>
      </c>
      <c r="JA227" t="s">
        <v>1</v>
      </c>
      <c r="JB227" s="3" t="s">
        <v>1</v>
      </c>
      <c r="JC227" t="s">
        <v>1</v>
      </c>
      <c r="JD227" s="4" t="s">
        <v>1</v>
      </c>
      <c r="JE227" t="s">
        <v>810</v>
      </c>
      <c r="JF227">
        <v>100</v>
      </c>
      <c r="JR227" t="s">
        <v>1066</v>
      </c>
      <c r="JS227">
        <v>796.8</v>
      </c>
      <c r="JU227" t="s">
        <v>1</v>
      </c>
      <c r="JW227" t="s">
        <v>1</v>
      </c>
      <c r="JX227">
        <v>0</v>
      </c>
      <c r="JY227">
        <v>45</v>
      </c>
      <c r="JZ227" t="s">
        <v>800</v>
      </c>
      <c r="KA227" t="s">
        <v>232</v>
      </c>
      <c r="KB227" t="s">
        <v>738</v>
      </c>
      <c r="KC227" t="s">
        <v>1</v>
      </c>
      <c r="KD227" t="s">
        <v>1</v>
      </c>
      <c r="KE227" t="s">
        <v>1</v>
      </c>
      <c r="KF227" t="s">
        <v>1</v>
      </c>
      <c r="KG227" t="s">
        <v>1</v>
      </c>
      <c r="KH227" t="s">
        <v>1</v>
      </c>
      <c r="KI227" t="s">
        <v>1</v>
      </c>
      <c r="KJ227" t="s">
        <v>1</v>
      </c>
      <c r="KK227" t="s">
        <v>1</v>
      </c>
    </row>
    <row r="228" spans="1:297" x14ac:dyDescent="0.2">
      <c r="A228">
        <v>196</v>
      </c>
      <c r="B228" t="s">
        <v>705</v>
      </c>
      <c r="C228" t="s">
        <v>234</v>
      </c>
      <c r="D228" t="s">
        <v>230</v>
      </c>
      <c r="E228">
        <v>32</v>
      </c>
      <c r="F228" t="s">
        <v>1321</v>
      </c>
      <c r="G228" t="s">
        <v>1</v>
      </c>
      <c r="H228" s="26" t="s">
        <v>1420</v>
      </c>
      <c r="I228" t="s">
        <v>1</v>
      </c>
      <c r="J228" t="s">
        <v>1</v>
      </c>
      <c r="K228" t="s">
        <v>1</v>
      </c>
      <c r="L228" t="s">
        <v>1</v>
      </c>
      <c r="M228" t="s">
        <v>1</v>
      </c>
      <c r="N228" t="s">
        <v>1</v>
      </c>
      <c r="O228" t="s">
        <v>1</v>
      </c>
      <c r="P228" t="s">
        <v>1</v>
      </c>
      <c r="Q228" t="s">
        <v>1</v>
      </c>
      <c r="R228" t="s">
        <v>1</v>
      </c>
      <c r="S228" t="s">
        <v>1</v>
      </c>
      <c r="T228" t="s">
        <v>1</v>
      </c>
      <c r="U228" t="s">
        <v>1</v>
      </c>
      <c r="V228" t="s">
        <v>1</v>
      </c>
      <c r="W228" t="s">
        <v>1</v>
      </c>
      <c r="X228" t="s">
        <v>1</v>
      </c>
      <c r="Y228" t="s">
        <v>1</v>
      </c>
      <c r="Z228" t="s">
        <v>1</v>
      </c>
      <c r="AA228" t="s">
        <v>1</v>
      </c>
      <c r="AB228" t="s">
        <v>1</v>
      </c>
      <c r="AC228" t="s">
        <v>1</v>
      </c>
      <c r="AD228" t="s">
        <v>1</v>
      </c>
      <c r="AE228" t="s">
        <v>1</v>
      </c>
      <c r="AF228" t="s">
        <v>1</v>
      </c>
      <c r="AG228" t="s">
        <v>1</v>
      </c>
      <c r="AH228" t="s">
        <v>1</v>
      </c>
      <c r="AI228" t="s">
        <v>1</v>
      </c>
      <c r="AJ228" t="s">
        <v>1</v>
      </c>
      <c r="AK228" t="s">
        <v>1</v>
      </c>
      <c r="AL228" t="s">
        <v>1</v>
      </c>
      <c r="AM228" t="s">
        <v>1</v>
      </c>
      <c r="AN228">
        <v>196</v>
      </c>
      <c r="AO228">
        <f t="shared" si="25"/>
        <v>196</v>
      </c>
      <c r="AP228">
        <f t="shared" si="26"/>
        <v>32</v>
      </c>
      <c r="AQ228">
        <f t="shared" si="27"/>
        <v>32</v>
      </c>
      <c r="AR228" s="26" t="s">
        <v>1355</v>
      </c>
      <c r="AS228" s="26" t="s">
        <v>1356</v>
      </c>
      <c r="AT228" t="s">
        <v>717</v>
      </c>
      <c r="AU228" t="s">
        <v>1</v>
      </c>
      <c r="AV228" t="s">
        <v>1</v>
      </c>
      <c r="AW228">
        <v>38.299999999999997</v>
      </c>
      <c r="AX228">
        <v>128.13999999999999</v>
      </c>
      <c r="AY228" t="s">
        <v>737</v>
      </c>
      <c r="BA228" s="3">
        <v>3</v>
      </c>
      <c r="BB228" s="3"/>
      <c r="BC228" s="3"/>
      <c r="BD228" s="3"/>
      <c r="BE228" s="3"/>
      <c r="BF228">
        <v>2010</v>
      </c>
      <c r="BG228" s="24" t="s">
        <v>733</v>
      </c>
      <c r="BH228" s="24" t="s">
        <v>733</v>
      </c>
      <c r="BI228" s="24" t="s">
        <v>733</v>
      </c>
      <c r="BJ228" s="24" t="s">
        <v>732</v>
      </c>
      <c r="BK228" s="24" t="s">
        <v>733</v>
      </c>
      <c r="BL228" s="25" t="s">
        <v>733</v>
      </c>
      <c r="BM228" s="24" t="s">
        <v>733</v>
      </c>
      <c r="BN228" s="24" t="s">
        <v>732</v>
      </c>
      <c r="BO228" s="24" t="s">
        <v>733</v>
      </c>
      <c r="BP228" s="24" t="s">
        <v>733</v>
      </c>
      <c r="BQ228" s="24" t="s">
        <v>945</v>
      </c>
      <c r="BR228" s="24" t="s">
        <v>945</v>
      </c>
      <c r="BS228" s="25" t="s">
        <v>934</v>
      </c>
      <c r="BT228" s="24" t="s">
        <v>934</v>
      </c>
      <c r="BU228" s="24" t="s">
        <v>934</v>
      </c>
      <c r="BV228" s="24" t="s">
        <v>934</v>
      </c>
      <c r="BW228" s="24" t="s">
        <v>934</v>
      </c>
      <c r="BX228" s="24" t="s">
        <v>934</v>
      </c>
      <c r="BY228" s="25" t="s">
        <v>945</v>
      </c>
      <c r="BZ228" t="s">
        <v>1411</v>
      </c>
      <c r="CB228" t="s">
        <v>1</v>
      </c>
      <c r="CC228" s="34" t="s">
        <v>1</v>
      </c>
      <c r="CD228" s="34"/>
      <c r="CE228" s="34"/>
      <c r="CF228" t="s">
        <v>1</v>
      </c>
      <c r="CG228" t="s">
        <v>1</v>
      </c>
      <c r="CH228" t="s">
        <v>805</v>
      </c>
      <c r="CI228" s="28">
        <v>0.6</v>
      </c>
      <c r="CJ228" s="9" t="s">
        <v>1</v>
      </c>
      <c r="CK228" s="9" t="s">
        <v>1</v>
      </c>
      <c r="CL228" s="34" t="s">
        <v>1</v>
      </c>
      <c r="CM228" t="s">
        <v>847</v>
      </c>
      <c r="CN228" s="4">
        <v>223</v>
      </c>
      <c r="CO228" s="4" t="s">
        <v>1</v>
      </c>
      <c r="CP228" s="4" t="s">
        <v>1</v>
      </c>
      <c r="CQ228" s="4" t="s">
        <v>1</v>
      </c>
      <c r="CR228" s="4" t="s">
        <v>1</v>
      </c>
      <c r="CS228" s="4" t="s">
        <v>1</v>
      </c>
      <c r="CT228" s="4" t="s">
        <v>1</v>
      </c>
      <c r="CU228" s="4" t="s">
        <v>1</v>
      </c>
      <c r="CV228" t="s">
        <v>852</v>
      </c>
      <c r="CW228">
        <v>100</v>
      </c>
      <c r="CX228">
        <v>0</v>
      </c>
      <c r="CY228">
        <v>30</v>
      </c>
      <c r="CZ228" s="26" t="s">
        <v>1358</v>
      </c>
      <c r="DA228" t="s">
        <v>734</v>
      </c>
      <c r="DB228">
        <v>79.7</v>
      </c>
      <c r="DC228">
        <v>0</v>
      </c>
      <c r="DD228">
        <v>30</v>
      </c>
      <c r="DE228" s="26" t="s">
        <v>1358</v>
      </c>
      <c r="DF228" t="s">
        <v>735</v>
      </c>
      <c r="DG228">
        <v>17</v>
      </c>
      <c r="DH228">
        <v>0</v>
      </c>
      <c r="DI228">
        <v>30</v>
      </c>
      <c r="DJ228" s="26" t="s">
        <v>1358</v>
      </c>
      <c r="DK228" t="s">
        <v>736</v>
      </c>
      <c r="DL228">
        <v>3.2</v>
      </c>
      <c r="DM228">
        <v>0</v>
      </c>
      <c r="DN228">
        <v>30</v>
      </c>
      <c r="DO228" s="26" t="s">
        <v>1358</v>
      </c>
      <c r="DP228" t="s">
        <v>1</v>
      </c>
      <c r="DQ228" t="s">
        <v>1</v>
      </c>
      <c r="DR228" t="s">
        <v>1</v>
      </c>
      <c r="DS228" t="s">
        <v>1</v>
      </c>
      <c r="DT228" t="s">
        <v>1</v>
      </c>
      <c r="DU228" t="s">
        <v>1</v>
      </c>
      <c r="EA228" t="s">
        <v>1</v>
      </c>
      <c r="EB228" t="s">
        <v>1</v>
      </c>
      <c r="EC228" t="s">
        <v>1</v>
      </c>
      <c r="ED228" t="s">
        <v>1</v>
      </c>
      <c r="EE228" t="s">
        <v>1</v>
      </c>
      <c r="FZ228" t="s">
        <v>806</v>
      </c>
      <c r="GA228">
        <v>734</v>
      </c>
      <c r="GE228" s="26" t="s">
        <v>1358</v>
      </c>
      <c r="HA228" s="5" t="s">
        <v>1</v>
      </c>
      <c r="HB228" s="4" t="s">
        <v>1</v>
      </c>
      <c r="HC228" t="s">
        <v>1</v>
      </c>
      <c r="HD228" t="s">
        <v>1</v>
      </c>
      <c r="HE228" t="s">
        <v>1</v>
      </c>
      <c r="HF228" s="5" t="s">
        <v>1</v>
      </c>
      <c r="HG228" s="4" t="s">
        <v>1</v>
      </c>
      <c r="HH228" t="s">
        <v>1</v>
      </c>
      <c r="HI228" t="s">
        <v>1</v>
      </c>
      <c r="HJ228" t="s">
        <v>1</v>
      </c>
      <c r="HK228" t="s">
        <v>815</v>
      </c>
      <c r="HL228" s="4">
        <v>1.48</v>
      </c>
      <c r="HM228">
        <v>0</v>
      </c>
      <c r="HN228">
        <v>30</v>
      </c>
      <c r="HO228" t="s">
        <v>1</v>
      </c>
      <c r="HP228" s="26" t="s">
        <v>1358</v>
      </c>
      <c r="HZ228" t="s">
        <v>969</v>
      </c>
      <c r="IA228">
        <v>306</v>
      </c>
      <c r="IB228" s="10" t="s">
        <v>1</v>
      </c>
      <c r="IC228" s="10"/>
      <c r="ID228" s="10"/>
      <c r="IE228" s="10" t="s">
        <v>1</v>
      </c>
      <c r="IF228" s="10" t="s">
        <v>1</v>
      </c>
      <c r="IG228" s="10"/>
      <c r="IH228" s="10"/>
      <c r="II228" s="10"/>
      <c r="IJ228" s="10"/>
      <c r="IK228" s="10"/>
      <c r="IL228" s="10"/>
      <c r="IM228" s="10"/>
      <c r="IN228" s="10"/>
      <c r="IO228" s="10"/>
      <c r="IP228" s="10"/>
      <c r="IQ228" s="10"/>
      <c r="IR228" s="10"/>
      <c r="IS228" t="s">
        <v>1</v>
      </c>
      <c r="IT228" t="s">
        <v>1</v>
      </c>
      <c r="IW228" t="s">
        <v>1</v>
      </c>
      <c r="IX228" t="s">
        <v>1</v>
      </c>
      <c r="IY228" t="s">
        <v>1</v>
      </c>
      <c r="IZ228" t="s">
        <v>1</v>
      </c>
      <c r="JA228" t="s">
        <v>1</v>
      </c>
      <c r="JB228" s="3" t="s">
        <v>1</v>
      </c>
      <c r="JC228" t="s">
        <v>1</v>
      </c>
      <c r="JD228" s="4" t="s">
        <v>1</v>
      </c>
      <c r="JE228" t="s">
        <v>810</v>
      </c>
      <c r="JF228">
        <v>100</v>
      </c>
      <c r="JR228" t="s">
        <v>1066</v>
      </c>
      <c r="JS228">
        <v>1150.9000000000001</v>
      </c>
      <c r="JU228" t="s">
        <v>1</v>
      </c>
      <c r="JW228" t="s">
        <v>1</v>
      </c>
      <c r="JX228">
        <v>0</v>
      </c>
      <c r="JY228">
        <v>45</v>
      </c>
      <c r="JZ228" t="s">
        <v>800</v>
      </c>
      <c r="KA228" t="s">
        <v>232</v>
      </c>
      <c r="KB228" t="s">
        <v>738</v>
      </c>
      <c r="KC228" t="s">
        <v>1</v>
      </c>
      <c r="KD228" t="s">
        <v>1</v>
      </c>
      <c r="KE228" t="s">
        <v>1</v>
      </c>
      <c r="KF228" t="s">
        <v>1</v>
      </c>
      <c r="KG228" t="s">
        <v>1</v>
      </c>
      <c r="KH228" t="s">
        <v>1</v>
      </c>
      <c r="KI228" t="s">
        <v>1</v>
      </c>
      <c r="KJ228" t="s">
        <v>1</v>
      </c>
      <c r="KK228" t="s">
        <v>1</v>
      </c>
    </row>
    <row r="229" spans="1:297" x14ac:dyDescent="0.2">
      <c r="A229">
        <v>197</v>
      </c>
      <c r="B229" t="s">
        <v>705</v>
      </c>
      <c r="C229" t="s">
        <v>235</v>
      </c>
      <c r="D229" t="s">
        <v>230</v>
      </c>
      <c r="E229">
        <v>32</v>
      </c>
      <c r="F229" t="s">
        <v>1321</v>
      </c>
      <c r="G229" t="s">
        <v>1</v>
      </c>
      <c r="H229" s="26" t="s">
        <v>1420</v>
      </c>
      <c r="I229" t="s">
        <v>1</v>
      </c>
      <c r="J229" t="s">
        <v>1</v>
      </c>
      <c r="K229" t="s">
        <v>1</v>
      </c>
      <c r="L229" t="s">
        <v>1</v>
      </c>
      <c r="M229" t="s">
        <v>1</v>
      </c>
      <c r="N229" t="s">
        <v>1</v>
      </c>
      <c r="O229" t="s">
        <v>1</v>
      </c>
      <c r="P229" t="s">
        <v>1</v>
      </c>
      <c r="Q229" t="s">
        <v>1</v>
      </c>
      <c r="R229" t="s">
        <v>1</v>
      </c>
      <c r="S229" t="s">
        <v>1</v>
      </c>
      <c r="T229" t="s">
        <v>1</v>
      </c>
      <c r="U229" t="s">
        <v>1</v>
      </c>
      <c r="V229" t="s">
        <v>1</v>
      </c>
      <c r="W229" t="s">
        <v>1</v>
      </c>
      <c r="X229" t="s">
        <v>1</v>
      </c>
      <c r="Y229" t="s">
        <v>1</v>
      </c>
      <c r="Z229" t="s">
        <v>1</v>
      </c>
      <c r="AA229" t="s">
        <v>1</v>
      </c>
      <c r="AB229" t="s">
        <v>1</v>
      </c>
      <c r="AC229" t="s">
        <v>1</v>
      </c>
      <c r="AD229" t="s">
        <v>1</v>
      </c>
      <c r="AE229" t="s">
        <v>1</v>
      </c>
      <c r="AF229" t="s">
        <v>1</v>
      </c>
      <c r="AG229" t="s">
        <v>1</v>
      </c>
      <c r="AH229" t="s">
        <v>1</v>
      </c>
      <c r="AI229" t="s">
        <v>1</v>
      </c>
      <c r="AJ229" t="s">
        <v>1</v>
      </c>
      <c r="AK229" t="s">
        <v>1</v>
      </c>
      <c r="AL229" t="s">
        <v>1</v>
      </c>
      <c r="AM229" t="s">
        <v>1</v>
      </c>
      <c r="AN229">
        <v>197</v>
      </c>
      <c r="AO229">
        <f t="shared" si="25"/>
        <v>197</v>
      </c>
      <c r="AP229">
        <f t="shared" si="26"/>
        <v>32</v>
      </c>
      <c r="AQ229">
        <f t="shared" si="27"/>
        <v>32</v>
      </c>
      <c r="AR229" s="26" t="s">
        <v>1355</v>
      </c>
      <c r="AS229" s="26" t="s">
        <v>1356</v>
      </c>
      <c r="AT229" t="s">
        <v>717</v>
      </c>
      <c r="AU229" t="s">
        <v>1</v>
      </c>
      <c r="AV229" t="s">
        <v>1</v>
      </c>
      <c r="AW229">
        <v>38.299999999999997</v>
      </c>
      <c r="AX229">
        <v>128.13999999999999</v>
      </c>
      <c r="AY229" t="s">
        <v>737</v>
      </c>
      <c r="BA229" s="3">
        <v>3</v>
      </c>
      <c r="BB229" s="3"/>
      <c r="BC229" s="3"/>
      <c r="BD229" s="3"/>
      <c r="BE229" s="3"/>
      <c r="BF229">
        <v>2010</v>
      </c>
      <c r="BG229" s="24" t="s">
        <v>733</v>
      </c>
      <c r="BH229" s="24" t="s">
        <v>733</v>
      </c>
      <c r="BI229" s="24" t="s">
        <v>733</v>
      </c>
      <c r="BJ229" s="24" t="s">
        <v>732</v>
      </c>
      <c r="BK229" s="24" t="s">
        <v>733</v>
      </c>
      <c r="BL229" s="25" t="s">
        <v>733</v>
      </c>
      <c r="BM229" s="24" t="s">
        <v>733</v>
      </c>
      <c r="BN229" s="24" t="s">
        <v>732</v>
      </c>
      <c r="BO229" s="24" t="s">
        <v>733</v>
      </c>
      <c r="BP229" s="24" t="s">
        <v>733</v>
      </c>
      <c r="BQ229" s="24" t="s">
        <v>945</v>
      </c>
      <c r="BR229" s="24" t="s">
        <v>945</v>
      </c>
      <c r="BS229" s="25" t="s">
        <v>934</v>
      </c>
      <c r="BT229" s="24" t="s">
        <v>934</v>
      </c>
      <c r="BU229" s="24" t="s">
        <v>934</v>
      </c>
      <c r="BV229" s="24" t="s">
        <v>934</v>
      </c>
      <c r="BW229" s="24" t="s">
        <v>934</v>
      </c>
      <c r="BX229" s="24" t="s">
        <v>934</v>
      </c>
      <c r="BY229" s="25" t="s">
        <v>945</v>
      </c>
      <c r="BZ229" t="s">
        <v>1411</v>
      </c>
      <c r="CB229" t="s">
        <v>1</v>
      </c>
      <c r="CC229" s="34" t="s">
        <v>1</v>
      </c>
      <c r="CD229" s="34"/>
      <c r="CE229" s="34"/>
      <c r="CF229" t="s">
        <v>1</v>
      </c>
      <c r="CG229" t="s">
        <v>1</v>
      </c>
      <c r="CH229" t="s">
        <v>805</v>
      </c>
      <c r="CI229" s="28">
        <v>0.6</v>
      </c>
      <c r="CJ229" s="9" t="s">
        <v>1</v>
      </c>
      <c r="CK229" s="9" t="s">
        <v>1</v>
      </c>
      <c r="CL229" s="34" t="s">
        <v>1</v>
      </c>
      <c r="CM229" t="s">
        <v>847</v>
      </c>
      <c r="CN229" s="4">
        <v>253</v>
      </c>
      <c r="CO229" s="4" t="s">
        <v>1</v>
      </c>
      <c r="CP229" s="4" t="s">
        <v>1</v>
      </c>
      <c r="CQ229" s="4" t="s">
        <v>1</v>
      </c>
      <c r="CR229" s="4" t="s">
        <v>1</v>
      </c>
      <c r="CS229" s="4" t="s">
        <v>1</v>
      </c>
      <c r="CT229" s="4" t="s">
        <v>1</v>
      </c>
      <c r="CU229" s="4" t="s">
        <v>1</v>
      </c>
      <c r="CV229" t="s">
        <v>852</v>
      </c>
      <c r="CW229">
        <v>100</v>
      </c>
      <c r="CX229">
        <v>0</v>
      </c>
      <c r="CY229">
        <v>30</v>
      </c>
      <c r="CZ229" s="26" t="s">
        <v>1358</v>
      </c>
      <c r="DA229" t="s">
        <v>734</v>
      </c>
      <c r="DB229">
        <v>79.7</v>
      </c>
      <c r="DC229">
        <v>0</v>
      </c>
      <c r="DD229">
        <v>30</v>
      </c>
      <c r="DE229" s="26" t="s">
        <v>1358</v>
      </c>
      <c r="DF229" t="s">
        <v>735</v>
      </c>
      <c r="DG229">
        <v>17</v>
      </c>
      <c r="DH229">
        <v>0</v>
      </c>
      <c r="DI229">
        <v>30</v>
      </c>
      <c r="DJ229" s="26" t="s">
        <v>1358</v>
      </c>
      <c r="DK229" t="s">
        <v>736</v>
      </c>
      <c r="DL229">
        <v>3.2</v>
      </c>
      <c r="DM229">
        <v>0</v>
      </c>
      <c r="DN229">
        <v>30</v>
      </c>
      <c r="DO229" s="26" t="s">
        <v>1358</v>
      </c>
      <c r="DP229" t="s">
        <v>1</v>
      </c>
      <c r="DQ229" t="s">
        <v>1</v>
      </c>
      <c r="DR229" t="s">
        <v>1</v>
      </c>
      <c r="DS229" t="s">
        <v>1</v>
      </c>
      <c r="DT229" t="s">
        <v>1</v>
      </c>
      <c r="DU229" t="s">
        <v>1</v>
      </c>
      <c r="EA229" t="s">
        <v>1</v>
      </c>
      <c r="EB229" t="s">
        <v>1</v>
      </c>
      <c r="EC229" t="s">
        <v>1</v>
      </c>
      <c r="ED229" t="s">
        <v>1</v>
      </c>
      <c r="EE229" t="s">
        <v>1</v>
      </c>
      <c r="FZ229" t="s">
        <v>806</v>
      </c>
      <c r="GA229">
        <v>734</v>
      </c>
      <c r="GE229" s="26" t="s">
        <v>1358</v>
      </c>
      <c r="HA229" s="5" t="s">
        <v>1</v>
      </c>
      <c r="HB229" s="4" t="s">
        <v>1</v>
      </c>
      <c r="HC229" t="s">
        <v>1</v>
      </c>
      <c r="HD229" t="s">
        <v>1</v>
      </c>
      <c r="HE229" t="s">
        <v>1</v>
      </c>
      <c r="HF229" s="5" t="s">
        <v>1</v>
      </c>
      <c r="HG229" s="4" t="s">
        <v>1</v>
      </c>
      <c r="HH229" t="s">
        <v>1</v>
      </c>
      <c r="HI229" t="s">
        <v>1</v>
      </c>
      <c r="HJ229" t="s">
        <v>1</v>
      </c>
      <c r="HK229" t="s">
        <v>815</v>
      </c>
      <c r="HL229" s="4">
        <v>1.48</v>
      </c>
      <c r="HM229">
        <v>0</v>
      </c>
      <c r="HN229">
        <v>30</v>
      </c>
      <c r="HO229" t="s">
        <v>1</v>
      </c>
      <c r="HP229" s="26" t="s">
        <v>1358</v>
      </c>
      <c r="HZ229" t="s">
        <v>969</v>
      </c>
      <c r="IA229">
        <v>406</v>
      </c>
      <c r="IB229" s="10" t="s">
        <v>1</v>
      </c>
      <c r="IC229" s="10"/>
      <c r="ID229" s="10"/>
      <c r="IE229" s="10" t="s">
        <v>1</v>
      </c>
      <c r="IF229" s="10" t="s">
        <v>1</v>
      </c>
      <c r="IG229" s="10"/>
      <c r="IH229" s="10"/>
      <c r="II229" s="10"/>
      <c r="IJ229" s="10"/>
      <c r="IK229" s="10"/>
      <c r="IL229" s="10"/>
      <c r="IM229" s="10"/>
      <c r="IN229" s="10"/>
      <c r="IO229" s="10"/>
      <c r="IP229" s="10"/>
      <c r="IQ229" s="10"/>
      <c r="IR229" s="10"/>
      <c r="IS229" t="s">
        <v>1</v>
      </c>
      <c r="IT229" t="s">
        <v>1</v>
      </c>
      <c r="IW229" t="s">
        <v>1</v>
      </c>
      <c r="IX229" t="s">
        <v>1</v>
      </c>
      <c r="IY229" t="s">
        <v>1</v>
      </c>
      <c r="IZ229" t="s">
        <v>1</v>
      </c>
      <c r="JA229" t="s">
        <v>1</v>
      </c>
      <c r="JB229" s="3" t="s">
        <v>1</v>
      </c>
      <c r="JC229" t="s">
        <v>1</v>
      </c>
      <c r="JD229" s="4" t="s">
        <v>1</v>
      </c>
      <c r="JE229" t="s">
        <v>810</v>
      </c>
      <c r="JF229">
        <v>100</v>
      </c>
      <c r="JR229" t="s">
        <v>1066</v>
      </c>
      <c r="JS229">
        <v>1713.1</v>
      </c>
      <c r="JU229" t="s">
        <v>1</v>
      </c>
      <c r="JW229" t="s">
        <v>1</v>
      </c>
      <c r="JX229">
        <v>0</v>
      </c>
      <c r="JY229">
        <v>45</v>
      </c>
      <c r="JZ229" t="s">
        <v>800</v>
      </c>
      <c r="KA229" t="s">
        <v>232</v>
      </c>
      <c r="KB229" t="s">
        <v>738</v>
      </c>
      <c r="KC229" t="s">
        <v>1</v>
      </c>
      <c r="KD229" t="s">
        <v>1</v>
      </c>
      <c r="KE229" t="s">
        <v>1</v>
      </c>
      <c r="KF229" t="s">
        <v>1</v>
      </c>
      <c r="KG229" t="s">
        <v>1</v>
      </c>
      <c r="KH229" t="s">
        <v>1</v>
      </c>
      <c r="KI229" t="s">
        <v>1</v>
      </c>
      <c r="KJ229" t="s">
        <v>1</v>
      </c>
      <c r="KK229" t="s">
        <v>1</v>
      </c>
    </row>
    <row r="230" spans="1:297" x14ac:dyDescent="0.2">
      <c r="A230">
        <v>198</v>
      </c>
      <c r="B230" t="s">
        <v>705</v>
      </c>
      <c r="C230" t="s">
        <v>1322</v>
      </c>
      <c r="D230" t="s">
        <v>236</v>
      </c>
      <c r="E230">
        <v>33</v>
      </c>
      <c r="F230" t="s">
        <v>1323</v>
      </c>
      <c r="G230" t="s">
        <v>1</v>
      </c>
      <c r="H230" s="26" t="s">
        <v>1420</v>
      </c>
      <c r="I230" t="s">
        <v>1</v>
      </c>
      <c r="J230" t="s">
        <v>1</v>
      </c>
      <c r="K230" t="s">
        <v>1</v>
      </c>
      <c r="L230" t="s">
        <v>1</v>
      </c>
      <c r="M230" t="s">
        <v>1</v>
      </c>
      <c r="N230" t="s">
        <v>1</v>
      </c>
      <c r="O230" t="s">
        <v>1</v>
      </c>
      <c r="P230" t="s">
        <v>1</v>
      </c>
      <c r="Q230" t="s">
        <v>1</v>
      </c>
      <c r="R230" t="s">
        <v>1</v>
      </c>
      <c r="S230" t="s">
        <v>1</v>
      </c>
      <c r="T230" t="s">
        <v>1</v>
      </c>
      <c r="U230" t="s">
        <v>1</v>
      </c>
      <c r="V230" t="s">
        <v>1</v>
      </c>
      <c r="W230" t="s">
        <v>1</v>
      </c>
      <c r="X230" t="s">
        <v>1</v>
      </c>
      <c r="Y230" t="s">
        <v>1</v>
      </c>
      <c r="Z230" t="s">
        <v>1</v>
      </c>
      <c r="AA230" t="s">
        <v>1</v>
      </c>
      <c r="AB230" t="s">
        <v>1</v>
      </c>
      <c r="AC230" t="s">
        <v>1</v>
      </c>
      <c r="AD230" t="s">
        <v>1</v>
      </c>
      <c r="AE230" t="s">
        <v>1</v>
      </c>
      <c r="AF230" t="s">
        <v>1</v>
      </c>
      <c r="AG230" t="s">
        <v>1</v>
      </c>
      <c r="AH230" t="s">
        <v>1</v>
      </c>
      <c r="AI230" t="s">
        <v>1</v>
      </c>
      <c r="AJ230" t="s">
        <v>1</v>
      </c>
      <c r="AK230" t="s">
        <v>1</v>
      </c>
      <c r="AL230" t="s">
        <v>1</v>
      </c>
      <c r="AM230" t="s">
        <v>1</v>
      </c>
      <c r="AN230">
        <v>198</v>
      </c>
      <c r="AO230">
        <f t="shared" si="25"/>
        <v>198</v>
      </c>
      <c r="AP230">
        <f t="shared" si="26"/>
        <v>33</v>
      </c>
      <c r="AQ230">
        <f t="shared" si="27"/>
        <v>33</v>
      </c>
      <c r="AR230" s="26" t="s">
        <v>1355</v>
      </c>
      <c r="AS230" s="26" t="s">
        <v>1356</v>
      </c>
      <c r="AT230" t="s">
        <v>718</v>
      </c>
      <c r="AU230" t="s">
        <v>1</v>
      </c>
      <c r="AV230" t="s">
        <v>1</v>
      </c>
      <c r="AW230">
        <v>54.63</v>
      </c>
      <c r="AX230">
        <v>25.11</v>
      </c>
      <c r="AY230" t="s">
        <v>737</v>
      </c>
      <c r="BA230" s="3">
        <v>3</v>
      </c>
      <c r="BB230" s="3"/>
      <c r="BC230" s="3"/>
      <c r="BD230" s="3"/>
      <c r="BE230" s="3"/>
      <c r="BF230">
        <v>2012</v>
      </c>
      <c r="BG230" s="24" t="s">
        <v>733</v>
      </c>
      <c r="BH230" s="24" t="s">
        <v>733</v>
      </c>
      <c r="BI230" s="24" t="s">
        <v>733</v>
      </c>
      <c r="BJ230" s="24" t="s">
        <v>732</v>
      </c>
      <c r="BK230" s="24" t="s">
        <v>733</v>
      </c>
      <c r="BL230" s="25" t="s">
        <v>733</v>
      </c>
      <c r="BM230" s="24" t="s">
        <v>733</v>
      </c>
      <c r="BN230" s="24" t="s">
        <v>732</v>
      </c>
      <c r="BO230" s="24" t="s">
        <v>733</v>
      </c>
      <c r="BP230" s="24" t="s">
        <v>733</v>
      </c>
      <c r="BQ230" s="24" t="s">
        <v>945</v>
      </c>
      <c r="BR230" s="24" t="s">
        <v>945</v>
      </c>
      <c r="BS230" s="25" t="s">
        <v>934</v>
      </c>
      <c r="BT230" s="24" t="s">
        <v>934</v>
      </c>
      <c r="BU230" s="24" t="s">
        <v>934</v>
      </c>
      <c r="BV230" s="24" t="s">
        <v>934</v>
      </c>
      <c r="BW230" s="24" t="s">
        <v>934</v>
      </c>
      <c r="BX230" s="24" t="s">
        <v>934</v>
      </c>
      <c r="BY230" s="25" t="s">
        <v>945</v>
      </c>
      <c r="BZ230" t="s">
        <v>788</v>
      </c>
      <c r="CB230" t="s">
        <v>1402</v>
      </c>
      <c r="CC230" s="4">
        <f>AVERAGE(0.201*0.89,1.86*0.22)*10000</f>
        <v>2940.45</v>
      </c>
      <c r="CD230" s="4"/>
      <c r="CE230" s="4"/>
      <c r="CF230" t="s">
        <v>793</v>
      </c>
      <c r="CG230">
        <v>100</v>
      </c>
      <c r="CH230" t="s">
        <v>805</v>
      </c>
      <c r="CI230" s="1">
        <f>AVERAGE(1.5,0.6)</f>
        <v>1.05</v>
      </c>
      <c r="CJ230" s="10" t="s">
        <v>1442</v>
      </c>
      <c r="CK230" s="9" t="s">
        <v>1</v>
      </c>
      <c r="CL230" s="34" t="s">
        <v>1</v>
      </c>
      <c r="CM230" s="34" t="s">
        <v>1</v>
      </c>
      <c r="CN230" s="34" t="s">
        <v>1</v>
      </c>
      <c r="CO230" s="4" t="s">
        <v>1</v>
      </c>
      <c r="CP230" s="4" t="s">
        <v>1</v>
      </c>
      <c r="CQ230" s="4" t="s">
        <v>1</v>
      </c>
      <c r="CR230" s="4" t="s">
        <v>1</v>
      </c>
      <c r="CS230" s="4" t="s">
        <v>1</v>
      </c>
      <c r="CT230" s="4" t="s">
        <v>1</v>
      </c>
      <c r="CU230" s="4" t="s">
        <v>1</v>
      </c>
      <c r="CV230" t="s">
        <v>855</v>
      </c>
      <c r="CW230">
        <v>100</v>
      </c>
      <c r="CX230">
        <v>0</v>
      </c>
      <c r="CY230">
        <v>20</v>
      </c>
      <c r="CZ230" s="26" t="s">
        <v>1358</v>
      </c>
      <c r="DA230" t="s">
        <v>734</v>
      </c>
      <c r="DB230">
        <v>65.400000000000006</v>
      </c>
      <c r="DC230">
        <v>0</v>
      </c>
      <c r="DD230">
        <v>20</v>
      </c>
      <c r="DE230" s="26" t="s">
        <v>1358</v>
      </c>
      <c r="DF230" t="s">
        <v>735</v>
      </c>
      <c r="DG230">
        <v>29.7</v>
      </c>
      <c r="DH230">
        <v>0</v>
      </c>
      <c r="DI230">
        <v>20</v>
      </c>
      <c r="DJ230" s="26" t="s">
        <v>1358</v>
      </c>
      <c r="DK230" t="s">
        <v>736</v>
      </c>
      <c r="DL230">
        <v>4.9000000000000004</v>
      </c>
      <c r="DM230">
        <v>0</v>
      </c>
      <c r="DN230">
        <v>20</v>
      </c>
      <c r="DO230" s="26" t="s">
        <v>1358</v>
      </c>
      <c r="DP230" t="s">
        <v>6</v>
      </c>
      <c r="DQ230" t="s">
        <v>814</v>
      </c>
      <c r="DR230">
        <v>5.9</v>
      </c>
      <c r="DS230">
        <v>0</v>
      </c>
      <c r="DT230">
        <v>20</v>
      </c>
      <c r="DU230" s="26" t="s">
        <v>1358</v>
      </c>
      <c r="EA230" t="s">
        <v>982</v>
      </c>
      <c r="EB230">
        <v>15.8</v>
      </c>
      <c r="EC230">
        <v>0</v>
      </c>
      <c r="ED230">
        <v>20</v>
      </c>
      <c r="EE230" s="26" t="s">
        <v>1358</v>
      </c>
      <c r="EF230" s="26"/>
      <c r="FZ230" t="s">
        <v>806</v>
      </c>
      <c r="GA230">
        <v>841.125</v>
      </c>
      <c r="GE230" s="26" t="s">
        <v>1358</v>
      </c>
      <c r="HA230" s="5" t="s">
        <v>1</v>
      </c>
      <c r="HB230" s="4" t="s">
        <v>1</v>
      </c>
      <c r="HC230" t="s">
        <v>1</v>
      </c>
      <c r="HD230" t="s">
        <v>1</v>
      </c>
      <c r="HE230" t="s">
        <v>1</v>
      </c>
      <c r="HF230" s="5" t="s">
        <v>1</v>
      </c>
      <c r="HG230" s="4" t="s">
        <v>1</v>
      </c>
      <c r="HH230" t="s">
        <v>1</v>
      </c>
      <c r="HI230" t="s">
        <v>1</v>
      </c>
      <c r="HJ230" t="s">
        <v>1</v>
      </c>
      <c r="HK230" t="s">
        <v>1</v>
      </c>
      <c r="HL230" t="s">
        <v>1</v>
      </c>
      <c r="HM230" t="s">
        <v>1</v>
      </c>
      <c r="HN230" t="s">
        <v>1</v>
      </c>
      <c r="HO230" t="s">
        <v>1</v>
      </c>
      <c r="HP230" t="s">
        <v>1</v>
      </c>
      <c r="HZ230" t="s">
        <v>1</v>
      </c>
      <c r="IA230" t="s">
        <v>1</v>
      </c>
      <c r="IB230" s="10" t="s">
        <v>1</v>
      </c>
      <c r="IC230" s="10"/>
      <c r="ID230" s="10"/>
      <c r="IE230" s="10" t="s">
        <v>1</v>
      </c>
      <c r="IF230" s="10" t="s">
        <v>1</v>
      </c>
      <c r="IG230" s="10"/>
      <c r="IH230" s="10"/>
      <c r="II230" s="10"/>
      <c r="IJ230" s="10"/>
      <c r="IK230" s="10"/>
      <c r="IL230" s="10"/>
      <c r="IM230" s="10"/>
      <c r="IN230" s="10"/>
      <c r="IO230" s="10"/>
      <c r="IP230" s="10"/>
      <c r="IQ230" s="10"/>
      <c r="IR230" s="10"/>
      <c r="IS230" t="s">
        <v>1</v>
      </c>
      <c r="IT230" t="s">
        <v>1</v>
      </c>
      <c r="IW230" t="s">
        <v>1</v>
      </c>
      <c r="IX230" t="s">
        <v>1</v>
      </c>
      <c r="IY230" t="s">
        <v>1</v>
      </c>
      <c r="IZ230" t="s">
        <v>1</v>
      </c>
      <c r="JA230" t="s">
        <v>1</v>
      </c>
      <c r="JB230" s="3" t="s">
        <v>1</v>
      </c>
      <c r="JC230" t="s">
        <v>1</v>
      </c>
      <c r="JD230" s="4" t="s">
        <v>1</v>
      </c>
      <c r="JE230" t="s">
        <v>1</v>
      </c>
      <c r="JF230" t="s">
        <v>1</v>
      </c>
      <c r="JR230" t="s">
        <v>1066</v>
      </c>
      <c r="JS230">
        <v>159.80000000000001</v>
      </c>
      <c r="JU230" t="s">
        <v>1</v>
      </c>
      <c r="JW230" t="s">
        <v>1</v>
      </c>
      <c r="JX230" t="s">
        <v>1</v>
      </c>
      <c r="JY230" t="s">
        <v>1</v>
      </c>
      <c r="JZ230" t="s">
        <v>796</v>
      </c>
      <c r="KA230" t="s">
        <v>16</v>
      </c>
      <c r="KB230" t="s">
        <v>738</v>
      </c>
      <c r="KC230" t="s">
        <v>1</v>
      </c>
      <c r="KD230" t="s">
        <v>1</v>
      </c>
      <c r="KE230" t="s">
        <v>1</v>
      </c>
      <c r="KF230" t="s">
        <v>1</v>
      </c>
      <c r="KG230" t="s">
        <v>1</v>
      </c>
      <c r="KH230" t="s">
        <v>1</v>
      </c>
      <c r="KI230" t="s">
        <v>1</v>
      </c>
      <c r="KJ230" t="s">
        <v>1</v>
      </c>
      <c r="KK230" t="s">
        <v>1</v>
      </c>
    </row>
    <row r="231" spans="1:297" x14ac:dyDescent="0.2">
      <c r="A231">
        <v>199</v>
      </c>
      <c r="B231" t="s">
        <v>705</v>
      </c>
      <c r="C231" t="s">
        <v>1324</v>
      </c>
      <c r="D231" t="s">
        <v>236</v>
      </c>
      <c r="E231">
        <v>33</v>
      </c>
      <c r="F231" t="s">
        <v>1323</v>
      </c>
      <c r="G231" t="s">
        <v>1</v>
      </c>
      <c r="H231" s="26" t="s">
        <v>1420</v>
      </c>
      <c r="I231" t="s">
        <v>1</v>
      </c>
      <c r="J231" t="s">
        <v>1</v>
      </c>
      <c r="K231" t="s">
        <v>1</v>
      </c>
      <c r="L231" t="s">
        <v>1</v>
      </c>
      <c r="M231" t="s">
        <v>1</v>
      </c>
      <c r="N231" t="s">
        <v>1</v>
      </c>
      <c r="O231" t="s">
        <v>1</v>
      </c>
      <c r="P231" t="s">
        <v>1</v>
      </c>
      <c r="Q231" t="s">
        <v>1</v>
      </c>
      <c r="R231" t="s">
        <v>1</v>
      </c>
      <c r="S231" t="s">
        <v>1</v>
      </c>
      <c r="T231" t="s">
        <v>1</v>
      </c>
      <c r="U231" t="s">
        <v>1</v>
      </c>
      <c r="V231" t="s">
        <v>1</v>
      </c>
      <c r="W231" t="s">
        <v>1</v>
      </c>
      <c r="X231" t="s">
        <v>1</v>
      </c>
      <c r="Y231" t="s">
        <v>1</v>
      </c>
      <c r="Z231" t="s">
        <v>1</v>
      </c>
      <c r="AA231" t="s">
        <v>1</v>
      </c>
      <c r="AB231" t="s">
        <v>1</v>
      </c>
      <c r="AC231" t="s">
        <v>1</v>
      </c>
      <c r="AD231" t="s">
        <v>1</v>
      </c>
      <c r="AE231" t="s">
        <v>1</v>
      </c>
      <c r="AF231" t="s">
        <v>1</v>
      </c>
      <c r="AG231" t="s">
        <v>1</v>
      </c>
      <c r="AH231" t="s">
        <v>1</v>
      </c>
      <c r="AI231" t="s">
        <v>1</v>
      </c>
      <c r="AJ231" t="s">
        <v>1</v>
      </c>
      <c r="AK231" t="s">
        <v>1</v>
      </c>
      <c r="AL231" t="s">
        <v>1</v>
      </c>
      <c r="AM231" t="s">
        <v>1</v>
      </c>
      <c r="AN231">
        <v>199</v>
      </c>
      <c r="AO231">
        <f t="shared" si="25"/>
        <v>199</v>
      </c>
      <c r="AP231">
        <f t="shared" si="26"/>
        <v>33</v>
      </c>
      <c r="AQ231">
        <f t="shared" si="27"/>
        <v>33</v>
      </c>
      <c r="AR231" s="26" t="s">
        <v>1355</v>
      </c>
      <c r="AS231" s="26" t="s">
        <v>1356</v>
      </c>
      <c r="AT231" t="s">
        <v>718</v>
      </c>
      <c r="AU231" t="s">
        <v>1</v>
      </c>
      <c r="AV231" t="s">
        <v>1</v>
      </c>
      <c r="AW231">
        <v>54.63</v>
      </c>
      <c r="AX231">
        <v>25.11</v>
      </c>
      <c r="AY231" t="s">
        <v>737</v>
      </c>
      <c r="BA231" s="3">
        <v>3</v>
      </c>
      <c r="BB231" s="3"/>
      <c r="BC231" s="3"/>
      <c r="BD231" s="3"/>
      <c r="BE231" s="3"/>
      <c r="BF231">
        <v>2012</v>
      </c>
      <c r="BG231" s="24" t="s">
        <v>733</v>
      </c>
      <c r="BH231" s="24" t="s">
        <v>733</v>
      </c>
      <c r="BI231" s="24" t="s">
        <v>733</v>
      </c>
      <c r="BJ231" s="24" t="s">
        <v>732</v>
      </c>
      <c r="BK231" s="24" t="s">
        <v>733</v>
      </c>
      <c r="BL231" s="25" t="s">
        <v>733</v>
      </c>
      <c r="BM231" s="24" t="s">
        <v>733</v>
      </c>
      <c r="BN231" s="24" t="s">
        <v>732</v>
      </c>
      <c r="BO231" s="24" t="s">
        <v>733</v>
      </c>
      <c r="BP231" s="24" t="s">
        <v>733</v>
      </c>
      <c r="BQ231" s="24" t="s">
        <v>945</v>
      </c>
      <c r="BR231" s="24" t="s">
        <v>945</v>
      </c>
      <c r="BS231" s="25" t="s">
        <v>934</v>
      </c>
      <c r="BT231" s="24" t="s">
        <v>934</v>
      </c>
      <c r="BU231" s="24" t="s">
        <v>934</v>
      </c>
      <c r="BV231" s="24" t="s">
        <v>934</v>
      </c>
      <c r="BW231" s="24" t="s">
        <v>934</v>
      </c>
      <c r="BX231" s="24" t="s">
        <v>934</v>
      </c>
      <c r="BY231" s="25" t="s">
        <v>945</v>
      </c>
      <c r="BZ231" t="s">
        <v>788</v>
      </c>
      <c r="CB231" t="s">
        <v>1402</v>
      </c>
      <c r="CC231" s="4">
        <f>AVERAGE(0.429*0.89,4.23*0.22)*10000</f>
        <v>6562.05</v>
      </c>
      <c r="CD231" s="4"/>
      <c r="CE231" s="4"/>
      <c r="CF231" t="s">
        <v>793</v>
      </c>
      <c r="CG231">
        <v>100</v>
      </c>
      <c r="CH231" t="s">
        <v>805</v>
      </c>
      <c r="CI231" s="1">
        <f>AVERAGE(1.5,0.6)</f>
        <v>1.05</v>
      </c>
      <c r="CJ231" s="10" t="s">
        <v>1442</v>
      </c>
      <c r="CK231" s="9" t="s">
        <v>1</v>
      </c>
      <c r="CL231" s="34" t="s">
        <v>1</v>
      </c>
      <c r="CM231" s="34" t="s">
        <v>1</v>
      </c>
      <c r="CN231" s="34" t="s">
        <v>1</v>
      </c>
      <c r="CO231" s="4" t="s">
        <v>1</v>
      </c>
      <c r="CP231" s="4" t="s">
        <v>1</v>
      </c>
      <c r="CQ231" s="4" t="s">
        <v>1</v>
      </c>
      <c r="CR231" s="4" t="s">
        <v>1</v>
      </c>
      <c r="CS231" s="4" t="s">
        <v>1</v>
      </c>
      <c r="CT231" s="4" t="s">
        <v>1</v>
      </c>
      <c r="CU231" s="4" t="s">
        <v>1</v>
      </c>
      <c r="CV231" t="s">
        <v>855</v>
      </c>
      <c r="CW231">
        <v>100</v>
      </c>
      <c r="CX231">
        <v>0</v>
      </c>
      <c r="CY231">
        <v>20</v>
      </c>
      <c r="CZ231" s="26" t="s">
        <v>1358</v>
      </c>
      <c r="DA231" t="s">
        <v>734</v>
      </c>
      <c r="DB231">
        <v>65.400000000000006</v>
      </c>
      <c r="DC231">
        <v>0</v>
      </c>
      <c r="DD231">
        <v>20</v>
      </c>
      <c r="DE231" s="26" t="s">
        <v>1358</v>
      </c>
      <c r="DF231" t="s">
        <v>735</v>
      </c>
      <c r="DG231">
        <v>29.7</v>
      </c>
      <c r="DH231">
        <v>0</v>
      </c>
      <c r="DI231">
        <v>20</v>
      </c>
      <c r="DJ231" s="26" t="s">
        <v>1358</v>
      </c>
      <c r="DK231" t="s">
        <v>736</v>
      </c>
      <c r="DL231">
        <v>4.9000000000000004</v>
      </c>
      <c r="DM231">
        <v>0</v>
      </c>
      <c r="DN231">
        <v>20</v>
      </c>
      <c r="DO231" s="26" t="s">
        <v>1358</v>
      </c>
      <c r="DP231" t="s">
        <v>6</v>
      </c>
      <c r="DQ231" t="s">
        <v>814</v>
      </c>
      <c r="DR231">
        <v>5.9</v>
      </c>
      <c r="DS231">
        <v>0</v>
      </c>
      <c r="DT231">
        <v>20</v>
      </c>
      <c r="DU231" s="26" t="s">
        <v>1358</v>
      </c>
      <c r="EA231" t="s">
        <v>982</v>
      </c>
      <c r="EB231">
        <v>15.8</v>
      </c>
      <c r="EC231">
        <v>0</v>
      </c>
      <c r="ED231">
        <v>20</v>
      </c>
      <c r="EE231" s="26" t="s">
        <v>1358</v>
      </c>
      <c r="EF231" s="26"/>
      <c r="FZ231" t="s">
        <v>806</v>
      </c>
      <c r="GA231">
        <v>841.125</v>
      </c>
      <c r="GE231" s="26" t="s">
        <v>1358</v>
      </c>
      <c r="HA231" s="5" t="s">
        <v>1</v>
      </c>
      <c r="HB231" s="4" t="s">
        <v>1</v>
      </c>
      <c r="HC231" t="s">
        <v>1</v>
      </c>
      <c r="HD231" t="s">
        <v>1</v>
      </c>
      <c r="HE231" t="s">
        <v>1</v>
      </c>
      <c r="HF231" s="5" t="s">
        <v>1</v>
      </c>
      <c r="HG231" s="4" t="s">
        <v>1</v>
      </c>
      <c r="HH231" t="s">
        <v>1</v>
      </c>
      <c r="HI231" t="s">
        <v>1</v>
      </c>
      <c r="HJ231" t="s">
        <v>1</v>
      </c>
      <c r="HK231" t="s">
        <v>1</v>
      </c>
      <c r="HL231" t="s">
        <v>1</v>
      </c>
      <c r="HM231" t="s">
        <v>1</v>
      </c>
      <c r="HN231" t="s">
        <v>1</v>
      </c>
      <c r="HO231" t="s">
        <v>1</v>
      </c>
      <c r="HP231" t="s">
        <v>1</v>
      </c>
      <c r="HZ231" t="s">
        <v>969</v>
      </c>
      <c r="IA231">
        <v>120</v>
      </c>
      <c r="IB231" s="10" t="s">
        <v>1</v>
      </c>
      <c r="IC231" s="10"/>
      <c r="ID231" s="10"/>
      <c r="IE231" s="10" t="s">
        <v>1</v>
      </c>
      <c r="IF231" s="10" t="s">
        <v>1</v>
      </c>
      <c r="IG231" s="10"/>
      <c r="IH231" s="10"/>
      <c r="II231" s="10"/>
      <c r="IJ231" s="10"/>
      <c r="IK231" s="10"/>
      <c r="IL231" s="10"/>
      <c r="IM231" s="10"/>
      <c r="IN231" s="10"/>
      <c r="IO231" s="10"/>
      <c r="IP231" s="10"/>
      <c r="IQ231" s="10"/>
      <c r="IR231" s="10"/>
      <c r="IS231" t="s">
        <v>1</v>
      </c>
      <c r="IT231" t="s">
        <v>1</v>
      </c>
      <c r="IW231" t="s">
        <v>1</v>
      </c>
      <c r="IX231" t="s">
        <v>1</v>
      </c>
      <c r="IY231" t="s">
        <v>1</v>
      </c>
      <c r="IZ231" t="s">
        <v>1</v>
      </c>
      <c r="JA231" t="s">
        <v>1</v>
      </c>
      <c r="JB231" s="3" t="s">
        <v>1</v>
      </c>
      <c r="JC231" t="s">
        <v>1</v>
      </c>
      <c r="JD231" s="4" t="s">
        <v>1</v>
      </c>
      <c r="JE231" t="s">
        <v>1</v>
      </c>
      <c r="JF231" t="s">
        <v>1</v>
      </c>
      <c r="JR231" t="s">
        <v>1066</v>
      </c>
      <c r="JS231">
        <v>189.9</v>
      </c>
      <c r="JU231" t="s">
        <v>1</v>
      </c>
      <c r="JW231" t="s">
        <v>1</v>
      </c>
      <c r="JX231" t="s">
        <v>1</v>
      </c>
      <c r="JY231" t="s">
        <v>1</v>
      </c>
      <c r="JZ231" t="s">
        <v>796</v>
      </c>
      <c r="KA231" t="s">
        <v>16</v>
      </c>
      <c r="KB231" t="s">
        <v>738</v>
      </c>
      <c r="KC231" t="s">
        <v>1</v>
      </c>
      <c r="KD231" t="s">
        <v>1</v>
      </c>
      <c r="KE231" t="s">
        <v>1</v>
      </c>
      <c r="KF231" t="s">
        <v>1</v>
      </c>
      <c r="KG231" t="s">
        <v>1</v>
      </c>
      <c r="KH231" t="s">
        <v>1</v>
      </c>
      <c r="KI231" t="s">
        <v>1</v>
      </c>
      <c r="KJ231" t="s">
        <v>1</v>
      </c>
      <c r="KK231" t="s">
        <v>1</v>
      </c>
    </row>
    <row r="232" spans="1:297" x14ac:dyDescent="0.2">
      <c r="A232">
        <v>200</v>
      </c>
      <c r="B232" t="s">
        <v>705</v>
      </c>
      <c r="C232" t="s">
        <v>1325</v>
      </c>
      <c r="D232" t="s">
        <v>236</v>
      </c>
      <c r="E232">
        <v>33</v>
      </c>
      <c r="F232" t="s">
        <v>1323</v>
      </c>
      <c r="G232" t="s">
        <v>1</v>
      </c>
      <c r="H232" s="26" t="s">
        <v>1420</v>
      </c>
      <c r="I232" t="s">
        <v>1</v>
      </c>
      <c r="J232" t="s">
        <v>1</v>
      </c>
      <c r="K232" t="s">
        <v>1</v>
      </c>
      <c r="L232" t="s">
        <v>1</v>
      </c>
      <c r="M232" t="s">
        <v>1</v>
      </c>
      <c r="N232" t="s">
        <v>1</v>
      </c>
      <c r="O232" t="s">
        <v>1</v>
      </c>
      <c r="P232" t="s">
        <v>1</v>
      </c>
      <c r="Q232" t="s">
        <v>1</v>
      </c>
      <c r="R232" t="s">
        <v>1</v>
      </c>
      <c r="S232" t="s">
        <v>1</v>
      </c>
      <c r="T232" t="s">
        <v>1</v>
      </c>
      <c r="U232" t="s">
        <v>1</v>
      </c>
      <c r="V232" t="s">
        <v>1</v>
      </c>
      <c r="W232" t="s">
        <v>1</v>
      </c>
      <c r="X232" t="s">
        <v>1</v>
      </c>
      <c r="Y232" t="s">
        <v>1</v>
      </c>
      <c r="Z232" t="s">
        <v>1</v>
      </c>
      <c r="AA232" t="s">
        <v>1</v>
      </c>
      <c r="AB232" t="s">
        <v>1</v>
      </c>
      <c r="AC232" t="s">
        <v>1</v>
      </c>
      <c r="AD232" t="s">
        <v>1</v>
      </c>
      <c r="AE232" t="s">
        <v>1</v>
      </c>
      <c r="AF232" t="s">
        <v>1</v>
      </c>
      <c r="AG232" t="s">
        <v>1</v>
      </c>
      <c r="AH232" t="s">
        <v>1</v>
      </c>
      <c r="AI232" t="s">
        <v>1</v>
      </c>
      <c r="AJ232" t="s">
        <v>1</v>
      </c>
      <c r="AK232" t="s">
        <v>1</v>
      </c>
      <c r="AL232" t="s">
        <v>1</v>
      </c>
      <c r="AM232" t="s">
        <v>1</v>
      </c>
      <c r="AN232">
        <v>200</v>
      </c>
      <c r="AO232">
        <f t="shared" si="25"/>
        <v>200</v>
      </c>
      <c r="AP232">
        <f t="shared" si="26"/>
        <v>33</v>
      </c>
      <c r="AQ232">
        <f t="shared" si="27"/>
        <v>33</v>
      </c>
      <c r="AR232" s="26" t="s">
        <v>1355</v>
      </c>
      <c r="AS232" s="26" t="s">
        <v>1356</v>
      </c>
      <c r="AT232" t="s">
        <v>718</v>
      </c>
      <c r="AU232" t="s">
        <v>1</v>
      </c>
      <c r="AV232" t="s">
        <v>1</v>
      </c>
      <c r="AW232">
        <v>54.63</v>
      </c>
      <c r="AX232">
        <v>25.11</v>
      </c>
      <c r="AY232" t="s">
        <v>737</v>
      </c>
      <c r="BA232" s="3">
        <v>3</v>
      </c>
      <c r="BB232" s="3"/>
      <c r="BC232" s="3"/>
      <c r="BD232" s="3"/>
      <c r="BE232" s="3"/>
      <c r="BF232">
        <v>2012</v>
      </c>
      <c r="BG232" s="24" t="s">
        <v>733</v>
      </c>
      <c r="BH232" s="24" t="s">
        <v>733</v>
      </c>
      <c r="BI232" s="24" t="s">
        <v>733</v>
      </c>
      <c r="BJ232" s="24" t="s">
        <v>732</v>
      </c>
      <c r="BK232" s="24" t="s">
        <v>733</v>
      </c>
      <c r="BL232" s="25" t="s">
        <v>733</v>
      </c>
      <c r="BM232" s="24" t="s">
        <v>733</v>
      </c>
      <c r="BN232" s="24" t="s">
        <v>732</v>
      </c>
      <c r="BO232" s="24" t="s">
        <v>733</v>
      </c>
      <c r="BP232" s="24" t="s">
        <v>733</v>
      </c>
      <c r="BQ232" s="24" t="s">
        <v>945</v>
      </c>
      <c r="BR232" s="24" t="s">
        <v>945</v>
      </c>
      <c r="BS232" s="25" t="s">
        <v>934</v>
      </c>
      <c r="BT232" s="24" t="s">
        <v>934</v>
      </c>
      <c r="BU232" s="24" t="s">
        <v>934</v>
      </c>
      <c r="BV232" s="24" t="s">
        <v>934</v>
      </c>
      <c r="BW232" s="24" t="s">
        <v>934</v>
      </c>
      <c r="BX232" s="24" t="s">
        <v>934</v>
      </c>
      <c r="BY232" s="25" t="s">
        <v>945</v>
      </c>
      <c r="BZ232" t="s">
        <v>788</v>
      </c>
      <c r="CB232" t="s">
        <v>1402</v>
      </c>
      <c r="CC232" s="4">
        <f>AVERAGE(0.449*0.89,3.45*0.22)*10000</f>
        <v>5793.0499999999993</v>
      </c>
      <c r="CD232" s="4"/>
      <c r="CE232" s="4"/>
      <c r="CF232" t="s">
        <v>793</v>
      </c>
      <c r="CG232">
        <v>100</v>
      </c>
      <c r="CH232" t="s">
        <v>805</v>
      </c>
      <c r="CI232" s="1">
        <f>AVERAGE(1.5,0.6)</f>
        <v>1.05</v>
      </c>
      <c r="CJ232" s="10" t="s">
        <v>1442</v>
      </c>
      <c r="CK232" s="9" t="s">
        <v>1</v>
      </c>
      <c r="CL232" s="34" t="s">
        <v>1</v>
      </c>
      <c r="CM232" s="34" t="s">
        <v>1</v>
      </c>
      <c r="CN232" s="34" t="s">
        <v>1</v>
      </c>
      <c r="CO232" s="4" t="s">
        <v>1</v>
      </c>
      <c r="CP232" s="4" t="s">
        <v>1</v>
      </c>
      <c r="CQ232" s="4" t="s">
        <v>1</v>
      </c>
      <c r="CR232" s="4" t="s">
        <v>1</v>
      </c>
      <c r="CS232" s="4" t="s">
        <v>1</v>
      </c>
      <c r="CT232" s="4" t="s">
        <v>1</v>
      </c>
      <c r="CU232" s="4" t="s">
        <v>1</v>
      </c>
      <c r="CV232" t="s">
        <v>855</v>
      </c>
      <c r="CW232">
        <v>100</v>
      </c>
      <c r="CX232">
        <v>0</v>
      </c>
      <c r="CY232">
        <v>20</v>
      </c>
      <c r="CZ232" s="26" t="s">
        <v>1358</v>
      </c>
      <c r="DA232" t="s">
        <v>734</v>
      </c>
      <c r="DB232">
        <v>65.400000000000006</v>
      </c>
      <c r="DC232">
        <v>0</v>
      </c>
      <c r="DD232">
        <v>20</v>
      </c>
      <c r="DE232" s="26" t="s">
        <v>1358</v>
      </c>
      <c r="DF232" t="s">
        <v>735</v>
      </c>
      <c r="DG232">
        <v>29.7</v>
      </c>
      <c r="DH232">
        <v>0</v>
      </c>
      <c r="DI232">
        <v>20</v>
      </c>
      <c r="DJ232" s="26" t="s">
        <v>1358</v>
      </c>
      <c r="DK232" t="s">
        <v>736</v>
      </c>
      <c r="DL232">
        <v>4.9000000000000004</v>
      </c>
      <c r="DM232">
        <v>0</v>
      </c>
      <c r="DN232">
        <v>20</v>
      </c>
      <c r="DO232" s="26" t="s">
        <v>1358</v>
      </c>
      <c r="DP232" t="s">
        <v>6</v>
      </c>
      <c r="DQ232" t="s">
        <v>814</v>
      </c>
      <c r="DR232">
        <v>5.9</v>
      </c>
      <c r="DS232">
        <v>0</v>
      </c>
      <c r="DT232">
        <v>20</v>
      </c>
      <c r="DU232" s="26" t="s">
        <v>1358</v>
      </c>
      <c r="EA232" t="s">
        <v>982</v>
      </c>
      <c r="EB232">
        <v>15.8</v>
      </c>
      <c r="EC232">
        <v>0</v>
      </c>
      <c r="ED232">
        <v>20</v>
      </c>
      <c r="EE232" s="26" t="s">
        <v>1358</v>
      </c>
      <c r="EF232" s="26"/>
      <c r="FZ232" t="s">
        <v>806</v>
      </c>
      <c r="GA232">
        <v>841.125</v>
      </c>
      <c r="GE232" s="26" t="s">
        <v>1358</v>
      </c>
      <c r="HA232" s="5" t="s">
        <v>1</v>
      </c>
      <c r="HB232" s="4" t="s">
        <v>1</v>
      </c>
      <c r="HC232" t="s">
        <v>1</v>
      </c>
      <c r="HD232" t="s">
        <v>1</v>
      </c>
      <c r="HE232" t="s">
        <v>1</v>
      </c>
      <c r="HF232" s="5" t="s">
        <v>1</v>
      </c>
      <c r="HG232" s="4" t="s">
        <v>1</v>
      </c>
      <c r="HH232" t="s">
        <v>1</v>
      </c>
      <c r="HI232" t="s">
        <v>1</v>
      </c>
      <c r="HJ232" t="s">
        <v>1</v>
      </c>
      <c r="HK232" t="s">
        <v>1</v>
      </c>
      <c r="HL232" t="s">
        <v>1</v>
      </c>
      <c r="HM232" t="s">
        <v>1</v>
      </c>
      <c r="HN232" t="s">
        <v>1</v>
      </c>
      <c r="HO232" t="s">
        <v>1</v>
      </c>
      <c r="HP232" t="s">
        <v>1</v>
      </c>
      <c r="HZ232" t="s">
        <v>1295</v>
      </c>
      <c r="IA232">
        <v>120</v>
      </c>
      <c r="IB232" s="10" t="s">
        <v>826</v>
      </c>
      <c r="IC232" s="10"/>
      <c r="ID232" s="10"/>
      <c r="IE232" s="10" t="s">
        <v>1</v>
      </c>
      <c r="IF232" s="10" t="s">
        <v>1</v>
      </c>
      <c r="IG232" s="10"/>
      <c r="IH232" s="10"/>
      <c r="II232" s="10"/>
      <c r="IJ232" s="10"/>
      <c r="IK232" s="10"/>
      <c r="IL232" s="10"/>
      <c r="IM232" s="10"/>
      <c r="IN232" s="10"/>
      <c r="IO232" s="10"/>
      <c r="IP232" s="10"/>
      <c r="IQ232" s="10"/>
      <c r="IR232" s="10"/>
      <c r="IS232" t="s">
        <v>1</v>
      </c>
      <c r="IT232" t="s">
        <v>1</v>
      </c>
      <c r="IW232" t="s">
        <v>1</v>
      </c>
      <c r="IX232" t="s">
        <v>1</v>
      </c>
      <c r="IY232" t="s">
        <v>1</v>
      </c>
      <c r="IZ232" t="s">
        <v>1</v>
      </c>
      <c r="JA232" t="s">
        <v>1</v>
      </c>
      <c r="JB232" s="3" t="s">
        <v>1</v>
      </c>
      <c r="JC232" t="s">
        <v>1</v>
      </c>
      <c r="JD232" s="4" t="s">
        <v>1</v>
      </c>
      <c r="JE232" t="s">
        <v>1</v>
      </c>
      <c r="JF232" t="s">
        <v>1</v>
      </c>
      <c r="JR232" t="s">
        <v>1066</v>
      </c>
      <c r="JS232">
        <v>187.7</v>
      </c>
      <c r="JU232" t="s">
        <v>1</v>
      </c>
      <c r="JW232" t="s">
        <v>1</v>
      </c>
      <c r="JX232" t="s">
        <v>1</v>
      </c>
      <c r="JY232" t="s">
        <v>1</v>
      </c>
      <c r="JZ232" t="s">
        <v>796</v>
      </c>
      <c r="KA232" t="s">
        <v>16</v>
      </c>
      <c r="KB232" t="s">
        <v>738</v>
      </c>
      <c r="KC232" t="s">
        <v>1</v>
      </c>
      <c r="KD232" t="s">
        <v>1</v>
      </c>
      <c r="KE232" t="s">
        <v>1</v>
      </c>
      <c r="KF232" t="s">
        <v>1</v>
      </c>
      <c r="KG232" t="s">
        <v>1</v>
      </c>
      <c r="KH232" t="s">
        <v>1</v>
      </c>
      <c r="KI232" t="s">
        <v>1</v>
      </c>
      <c r="KJ232" t="s">
        <v>1</v>
      </c>
      <c r="KK232" t="s">
        <v>1</v>
      </c>
    </row>
    <row r="233" spans="1:297" x14ac:dyDescent="0.2">
      <c r="A233">
        <v>201</v>
      </c>
      <c r="B233" t="s">
        <v>705</v>
      </c>
      <c r="C233" t="s">
        <v>1326</v>
      </c>
      <c r="D233" t="s">
        <v>236</v>
      </c>
      <c r="E233">
        <v>33</v>
      </c>
      <c r="F233" t="s">
        <v>1323</v>
      </c>
      <c r="G233" t="s">
        <v>1</v>
      </c>
      <c r="H233" s="26" t="s">
        <v>1420</v>
      </c>
      <c r="I233" t="s">
        <v>1</v>
      </c>
      <c r="J233" t="s">
        <v>1</v>
      </c>
      <c r="K233" t="s">
        <v>1</v>
      </c>
      <c r="L233" t="s">
        <v>1</v>
      </c>
      <c r="M233" t="s">
        <v>1</v>
      </c>
      <c r="N233" t="s">
        <v>1</v>
      </c>
      <c r="O233" t="s">
        <v>1</v>
      </c>
      <c r="P233" t="s">
        <v>1</v>
      </c>
      <c r="Q233" t="s">
        <v>1</v>
      </c>
      <c r="R233" t="s">
        <v>1</v>
      </c>
      <c r="S233" t="s">
        <v>1</v>
      </c>
      <c r="T233" t="s">
        <v>1</v>
      </c>
      <c r="U233" t="s">
        <v>1</v>
      </c>
      <c r="V233" t="s">
        <v>1</v>
      </c>
      <c r="W233" t="s">
        <v>1</v>
      </c>
      <c r="X233" t="s">
        <v>1</v>
      </c>
      <c r="Y233" t="s">
        <v>1</v>
      </c>
      <c r="Z233" t="s">
        <v>1</v>
      </c>
      <c r="AA233" t="s">
        <v>1</v>
      </c>
      <c r="AB233" t="s">
        <v>1</v>
      </c>
      <c r="AC233" t="s">
        <v>1</v>
      </c>
      <c r="AD233" t="s">
        <v>1</v>
      </c>
      <c r="AE233" t="s">
        <v>1</v>
      </c>
      <c r="AF233" t="s">
        <v>1</v>
      </c>
      <c r="AG233" t="s">
        <v>1</v>
      </c>
      <c r="AH233" t="s">
        <v>1</v>
      </c>
      <c r="AI233" t="s">
        <v>1</v>
      </c>
      <c r="AJ233" t="s">
        <v>1</v>
      </c>
      <c r="AK233" t="s">
        <v>1</v>
      </c>
      <c r="AL233" t="s">
        <v>1</v>
      </c>
      <c r="AM233" t="s">
        <v>1</v>
      </c>
      <c r="AN233">
        <v>201</v>
      </c>
      <c r="AO233">
        <f t="shared" si="25"/>
        <v>201</v>
      </c>
      <c r="AP233">
        <f t="shared" si="26"/>
        <v>33</v>
      </c>
      <c r="AQ233">
        <f t="shared" si="27"/>
        <v>33</v>
      </c>
      <c r="AR233" s="26" t="s">
        <v>1355</v>
      </c>
      <c r="AS233" s="26" t="s">
        <v>1356</v>
      </c>
      <c r="AT233" t="s">
        <v>718</v>
      </c>
      <c r="AU233" t="s">
        <v>1</v>
      </c>
      <c r="AV233" t="s">
        <v>1</v>
      </c>
      <c r="AW233">
        <v>54.63</v>
      </c>
      <c r="AX233">
        <v>25.11</v>
      </c>
      <c r="AY233" t="s">
        <v>737</v>
      </c>
      <c r="BA233" s="3">
        <v>3</v>
      </c>
      <c r="BB233" s="3"/>
      <c r="BC233" s="3"/>
      <c r="BD233" s="3"/>
      <c r="BE233" s="3"/>
      <c r="BF233">
        <v>2012</v>
      </c>
      <c r="BG233" s="24" t="s">
        <v>733</v>
      </c>
      <c r="BH233" s="24" t="s">
        <v>733</v>
      </c>
      <c r="BI233" s="24" t="s">
        <v>733</v>
      </c>
      <c r="BJ233" s="24" t="s">
        <v>732</v>
      </c>
      <c r="BK233" s="24" t="s">
        <v>733</v>
      </c>
      <c r="BL233" s="25" t="s">
        <v>733</v>
      </c>
      <c r="BM233" s="24" t="s">
        <v>733</v>
      </c>
      <c r="BN233" s="24" t="s">
        <v>732</v>
      </c>
      <c r="BO233" s="24" t="s">
        <v>733</v>
      </c>
      <c r="BP233" s="24" t="s">
        <v>733</v>
      </c>
      <c r="BQ233" s="24" t="s">
        <v>945</v>
      </c>
      <c r="BR233" s="24" t="s">
        <v>945</v>
      </c>
      <c r="BS233" s="25" t="s">
        <v>934</v>
      </c>
      <c r="BT233" s="24" t="s">
        <v>934</v>
      </c>
      <c r="BU233" s="24" t="s">
        <v>934</v>
      </c>
      <c r="BV233" s="24" t="s">
        <v>934</v>
      </c>
      <c r="BW233" s="24" t="s">
        <v>934</v>
      </c>
      <c r="BX233" s="24" t="s">
        <v>934</v>
      </c>
      <c r="BY233" s="25" t="s">
        <v>945</v>
      </c>
      <c r="BZ233" t="s">
        <v>788</v>
      </c>
      <c r="CB233" t="s">
        <v>1402</v>
      </c>
      <c r="CC233" s="4">
        <f>AVERAGE(0.429*0.89,4.34*0.22)*10000</f>
        <v>6683.0499999999993</v>
      </c>
      <c r="CD233" s="4"/>
      <c r="CE233" s="4"/>
      <c r="CF233" t="s">
        <v>793</v>
      </c>
      <c r="CG233">
        <v>100</v>
      </c>
      <c r="CH233" t="s">
        <v>805</v>
      </c>
      <c r="CI233" s="1">
        <f>AVERAGE(1.5,0.6)</f>
        <v>1.05</v>
      </c>
      <c r="CJ233" s="10" t="s">
        <v>1442</v>
      </c>
      <c r="CK233" s="9" t="s">
        <v>1</v>
      </c>
      <c r="CL233" s="34" t="s">
        <v>1</v>
      </c>
      <c r="CM233" s="34" t="s">
        <v>1</v>
      </c>
      <c r="CN233" s="34" t="s">
        <v>1</v>
      </c>
      <c r="CO233" s="4" t="s">
        <v>1</v>
      </c>
      <c r="CP233" s="4" t="s">
        <v>1</v>
      </c>
      <c r="CQ233" s="4" t="s">
        <v>1</v>
      </c>
      <c r="CR233" s="4" t="s">
        <v>1</v>
      </c>
      <c r="CS233" s="4" t="s">
        <v>1</v>
      </c>
      <c r="CT233" s="4" t="s">
        <v>1</v>
      </c>
      <c r="CU233" s="4" t="s">
        <v>1</v>
      </c>
      <c r="CV233" t="s">
        <v>855</v>
      </c>
      <c r="CW233">
        <v>100</v>
      </c>
      <c r="CX233">
        <v>0</v>
      </c>
      <c r="CY233">
        <v>20</v>
      </c>
      <c r="CZ233" s="26" t="s">
        <v>1358</v>
      </c>
      <c r="DA233" t="s">
        <v>734</v>
      </c>
      <c r="DB233">
        <v>65.400000000000006</v>
      </c>
      <c r="DC233">
        <v>0</v>
      </c>
      <c r="DD233">
        <v>20</v>
      </c>
      <c r="DE233" s="26" t="s">
        <v>1358</v>
      </c>
      <c r="DF233" t="s">
        <v>735</v>
      </c>
      <c r="DG233">
        <v>29.7</v>
      </c>
      <c r="DH233">
        <v>0</v>
      </c>
      <c r="DI233">
        <v>20</v>
      </c>
      <c r="DJ233" s="26" t="s">
        <v>1358</v>
      </c>
      <c r="DK233" t="s">
        <v>736</v>
      </c>
      <c r="DL233">
        <v>4.9000000000000004</v>
      </c>
      <c r="DM233">
        <v>0</v>
      </c>
      <c r="DN233">
        <v>20</v>
      </c>
      <c r="DO233" s="26" t="s">
        <v>1358</v>
      </c>
      <c r="DP233" t="s">
        <v>6</v>
      </c>
      <c r="DQ233" t="s">
        <v>814</v>
      </c>
      <c r="DR233">
        <v>5.9</v>
      </c>
      <c r="DS233">
        <v>0</v>
      </c>
      <c r="DT233">
        <v>20</v>
      </c>
      <c r="DU233" s="26" t="s">
        <v>1358</v>
      </c>
      <c r="EA233" t="s">
        <v>982</v>
      </c>
      <c r="EB233">
        <v>15.8</v>
      </c>
      <c r="EC233">
        <v>0</v>
      </c>
      <c r="ED233">
        <v>20</v>
      </c>
      <c r="EE233" s="26" t="s">
        <v>1358</v>
      </c>
      <c r="EF233" s="26"/>
      <c r="FZ233" t="s">
        <v>806</v>
      </c>
      <c r="GA233">
        <v>841.125</v>
      </c>
      <c r="GE233" s="26" t="s">
        <v>1358</v>
      </c>
      <c r="HA233" s="5" t="s">
        <v>1</v>
      </c>
      <c r="HB233" s="4" t="s">
        <v>1</v>
      </c>
      <c r="HC233" t="s">
        <v>1</v>
      </c>
      <c r="HD233" t="s">
        <v>1</v>
      </c>
      <c r="HE233" t="s">
        <v>1</v>
      </c>
      <c r="HF233" s="5" t="s">
        <v>1</v>
      </c>
      <c r="HG233" s="4" t="s">
        <v>1</v>
      </c>
      <c r="HH233" t="s">
        <v>1</v>
      </c>
      <c r="HI233" t="s">
        <v>1</v>
      </c>
      <c r="HJ233" t="s">
        <v>1</v>
      </c>
      <c r="HK233" t="s">
        <v>1</v>
      </c>
      <c r="HL233" t="s">
        <v>1</v>
      </c>
      <c r="HM233" t="s">
        <v>1</v>
      </c>
      <c r="HN233" t="s">
        <v>1</v>
      </c>
      <c r="HO233" t="s">
        <v>1</v>
      </c>
      <c r="HP233" t="s">
        <v>1</v>
      </c>
      <c r="HZ233" t="s">
        <v>971</v>
      </c>
      <c r="IA233">
        <v>120</v>
      </c>
      <c r="IB233" s="10" t="s">
        <v>826</v>
      </c>
      <c r="IC233" s="10"/>
      <c r="ID233" s="10"/>
      <c r="IE233" s="10" t="s">
        <v>1</v>
      </c>
      <c r="IF233" s="10" t="s">
        <v>1</v>
      </c>
      <c r="IG233" s="10"/>
      <c r="IH233" s="10"/>
      <c r="II233" s="10"/>
      <c r="IJ233" s="10"/>
      <c r="IK233" s="10"/>
      <c r="IL233" s="10"/>
      <c r="IM233" s="10"/>
      <c r="IN233" s="10"/>
      <c r="IO233" s="10"/>
      <c r="IP233" s="10"/>
      <c r="IQ233" s="10"/>
      <c r="IR233" s="10"/>
      <c r="IS233" t="s">
        <v>1</v>
      </c>
      <c r="IT233" t="s">
        <v>1</v>
      </c>
      <c r="IW233" t="s">
        <v>1</v>
      </c>
      <c r="IX233" t="s">
        <v>1</v>
      </c>
      <c r="IY233" t="s">
        <v>1</v>
      </c>
      <c r="IZ233" t="s">
        <v>1</v>
      </c>
      <c r="JA233" t="s">
        <v>1</v>
      </c>
      <c r="JB233" s="3" t="s">
        <v>1</v>
      </c>
      <c r="JC233" t="s">
        <v>1</v>
      </c>
      <c r="JD233" s="4" t="s">
        <v>1</v>
      </c>
      <c r="JE233" t="s">
        <v>1</v>
      </c>
      <c r="JF233" t="s">
        <v>1</v>
      </c>
      <c r="JR233" t="s">
        <v>1066</v>
      </c>
      <c r="JS233">
        <v>201.9</v>
      </c>
      <c r="JU233" t="s">
        <v>1</v>
      </c>
      <c r="JW233" t="s">
        <v>1</v>
      </c>
      <c r="JX233" t="s">
        <v>1</v>
      </c>
      <c r="JY233" t="s">
        <v>1</v>
      </c>
      <c r="JZ233" t="s">
        <v>796</v>
      </c>
      <c r="KA233" t="s">
        <v>16</v>
      </c>
      <c r="KB233" t="s">
        <v>738</v>
      </c>
      <c r="KC233" t="s">
        <v>1</v>
      </c>
      <c r="KD233" t="s">
        <v>1</v>
      </c>
      <c r="KE233" t="s">
        <v>1</v>
      </c>
      <c r="KF233" t="s">
        <v>1</v>
      </c>
      <c r="KG233" t="s">
        <v>1</v>
      </c>
      <c r="KH233" t="s">
        <v>1</v>
      </c>
      <c r="KI233" t="s">
        <v>1</v>
      </c>
      <c r="KJ233" t="s">
        <v>1</v>
      </c>
      <c r="KK233" t="s">
        <v>1</v>
      </c>
    </row>
    <row r="234" spans="1:297" x14ac:dyDescent="0.2">
      <c r="A234">
        <v>202</v>
      </c>
      <c r="B234" t="s">
        <v>705</v>
      </c>
      <c r="C234" t="s">
        <v>105</v>
      </c>
      <c r="D234" t="s">
        <v>237</v>
      </c>
      <c r="E234">
        <v>34</v>
      </c>
      <c r="F234" t="s">
        <v>1327</v>
      </c>
      <c r="G234" t="s">
        <v>1</v>
      </c>
      <c r="H234" s="26" t="s">
        <v>1420</v>
      </c>
      <c r="I234" t="s">
        <v>1</v>
      </c>
      <c r="J234" t="s">
        <v>1</v>
      </c>
      <c r="K234" t="s">
        <v>1</v>
      </c>
      <c r="L234" t="s">
        <v>1</v>
      </c>
      <c r="M234" t="s">
        <v>1</v>
      </c>
      <c r="N234" t="s">
        <v>1</v>
      </c>
      <c r="O234" t="s">
        <v>1</v>
      </c>
      <c r="P234" t="s">
        <v>1</v>
      </c>
      <c r="Q234" t="s">
        <v>1</v>
      </c>
      <c r="R234" t="s">
        <v>1</v>
      </c>
      <c r="S234" t="s">
        <v>1</v>
      </c>
      <c r="T234" t="s">
        <v>1</v>
      </c>
      <c r="U234" t="s">
        <v>1</v>
      </c>
      <c r="V234" t="s">
        <v>1</v>
      </c>
      <c r="W234" t="s">
        <v>1</v>
      </c>
      <c r="X234" t="s">
        <v>1</v>
      </c>
      <c r="Y234" t="s">
        <v>1</v>
      </c>
      <c r="Z234" t="s">
        <v>1</v>
      </c>
      <c r="AA234" t="s">
        <v>1</v>
      </c>
      <c r="AB234" t="s">
        <v>1</v>
      </c>
      <c r="AC234" t="s">
        <v>1</v>
      </c>
      <c r="AD234" t="s">
        <v>1</v>
      </c>
      <c r="AE234" t="s">
        <v>1</v>
      </c>
      <c r="AF234" t="s">
        <v>1</v>
      </c>
      <c r="AG234" t="s">
        <v>1</v>
      </c>
      <c r="AH234" t="s">
        <v>1</v>
      </c>
      <c r="AI234" t="s">
        <v>1</v>
      </c>
      <c r="AJ234" t="s">
        <v>1</v>
      </c>
      <c r="AK234" t="s">
        <v>1</v>
      </c>
      <c r="AL234" t="s">
        <v>1</v>
      </c>
      <c r="AM234" t="s">
        <v>1</v>
      </c>
      <c r="AN234">
        <v>202</v>
      </c>
      <c r="AO234">
        <f t="shared" si="25"/>
        <v>202</v>
      </c>
      <c r="AP234">
        <f t="shared" si="26"/>
        <v>34</v>
      </c>
      <c r="AQ234">
        <f t="shared" si="27"/>
        <v>34</v>
      </c>
      <c r="AR234" s="26" t="s">
        <v>1355</v>
      </c>
      <c r="AS234" s="26" t="s">
        <v>1356</v>
      </c>
      <c r="AT234" t="s">
        <v>719</v>
      </c>
      <c r="AU234" t="s">
        <v>1</v>
      </c>
      <c r="AV234" t="s">
        <v>1</v>
      </c>
      <c r="AW234">
        <v>35.78</v>
      </c>
      <c r="AX234">
        <v>139.9</v>
      </c>
      <c r="AY234" t="s">
        <v>737</v>
      </c>
      <c r="BA234" s="3">
        <v>3</v>
      </c>
      <c r="BB234" s="3"/>
      <c r="BC234" s="3"/>
      <c r="BD234" s="3"/>
      <c r="BE234" s="3"/>
      <c r="BF234">
        <v>2005</v>
      </c>
      <c r="BG234" s="24" t="s">
        <v>732</v>
      </c>
      <c r="BH234" s="24" t="s">
        <v>733</v>
      </c>
      <c r="BI234" s="24" t="s">
        <v>733</v>
      </c>
      <c r="BJ234" s="24" t="s">
        <v>732</v>
      </c>
      <c r="BK234" s="24" t="s">
        <v>733</v>
      </c>
      <c r="BL234" s="25" t="s">
        <v>733</v>
      </c>
      <c r="BM234" s="24" t="s">
        <v>733</v>
      </c>
      <c r="BN234" s="24" t="s">
        <v>732</v>
      </c>
      <c r="BO234" s="24" t="s">
        <v>733</v>
      </c>
      <c r="BP234" s="24" t="s">
        <v>733</v>
      </c>
      <c r="BQ234" s="24" t="s">
        <v>945</v>
      </c>
      <c r="BR234" s="24" t="s">
        <v>945</v>
      </c>
      <c r="BS234" s="25" t="s">
        <v>934</v>
      </c>
      <c r="BT234" s="24" t="s">
        <v>934</v>
      </c>
      <c r="BU234" s="24" t="s">
        <v>934</v>
      </c>
      <c r="BV234" s="24" t="s">
        <v>934</v>
      </c>
      <c r="BW234" s="24" t="s">
        <v>934</v>
      </c>
      <c r="BX234" s="24" t="s">
        <v>934</v>
      </c>
      <c r="BY234" s="25" t="s">
        <v>945</v>
      </c>
      <c r="BZ234" t="s">
        <v>1414</v>
      </c>
      <c r="CB234" t="s">
        <v>1</v>
      </c>
      <c r="CC234" s="4">
        <f>0.34*10000*0.05</f>
        <v>170.00000000000003</v>
      </c>
      <c r="CD234" s="4"/>
      <c r="CE234" s="4"/>
      <c r="CF234" t="s">
        <v>793</v>
      </c>
      <c r="CG234">
        <v>100</v>
      </c>
      <c r="CH234" t="s">
        <v>805</v>
      </c>
      <c r="CI234" s="28">
        <v>0.3</v>
      </c>
      <c r="CJ234" s="10" t="s">
        <v>1442</v>
      </c>
      <c r="CK234" t="s">
        <v>807</v>
      </c>
      <c r="CL234" s="4">
        <v>0</v>
      </c>
      <c r="CM234" t="s">
        <v>847</v>
      </c>
      <c r="CN234" s="4">
        <f>3.2*10</f>
        <v>32</v>
      </c>
      <c r="CO234" s="4" t="s">
        <v>1</v>
      </c>
      <c r="CP234" s="4" t="s">
        <v>1</v>
      </c>
      <c r="CQ234" s="4" t="s">
        <v>1</v>
      </c>
      <c r="CR234" s="4" t="s">
        <v>1</v>
      </c>
      <c r="CS234" s="4" t="s">
        <v>1</v>
      </c>
      <c r="CT234" s="4" t="s">
        <v>1</v>
      </c>
      <c r="CU234" s="4" t="s">
        <v>1</v>
      </c>
      <c r="CV234" t="s">
        <v>855</v>
      </c>
      <c r="CW234">
        <v>100</v>
      </c>
      <c r="CX234">
        <v>0</v>
      </c>
      <c r="CY234">
        <v>20</v>
      </c>
      <c r="CZ234" s="26" t="s">
        <v>1358</v>
      </c>
      <c r="DA234" t="s">
        <v>734</v>
      </c>
      <c r="DB234">
        <v>58</v>
      </c>
      <c r="DC234">
        <v>0</v>
      </c>
      <c r="DD234">
        <v>20</v>
      </c>
      <c r="DE234" s="26" t="s">
        <v>1358</v>
      </c>
      <c r="DF234" t="s">
        <v>735</v>
      </c>
      <c r="DG234">
        <v>35.200000000000003</v>
      </c>
      <c r="DH234">
        <v>0</v>
      </c>
      <c r="DI234">
        <v>20</v>
      </c>
      <c r="DJ234" s="26" t="s">
        <v>1358</v>
      </c>
      <c r="DK234" t="s">
        <v>736</v>
      </c>
      <c r="DL234">
        <v>6.8</v>
      </c>
      <c r="DM234">
        <v>0</v>
      </c>
      <c r="DN234">
        <v>20</v>
      </c>
      <c r="DO234" s="26" t="s">
        <v>1358</v>
      </c>
      <c r="DP234" t="s">
        <v>6</v>
      </c>
      <c r="DQ234" t="s">
        <v>813</v>
      </c>
      <c r="DR234">
        <v>5.9</v>
      </c>
      <c r="DS234">
        <v>0</v>
      </c>
      <c r="DT234">
        <v>20</v>
      </c>
      <c r="DU234" s="26" t="s">
        <v>1358</v>
      </c>
      <c r="EA234" t="s">
        <v>982</v>
      </c>
      <c r="EB234">
        <v>20.9</v>
      </c>
      <c r="EC234">
        <v>0</v>
      </c>
      <c r="ED234">
        <v>20</v>
      </c>
      <c r="EE234" s="26" t="s">
        <v>1358</v>
      </c>
      <c r="EF234" s="26"/>
      <c r="FZ234" t="s">
        <v>806</v>
      </c>
      <c r="GA234">
        <v>120</v>
      </c>
      <c r="GE234" s="26" t="s">
        <v>1358</v>
      </c>
      <c r="HA234" s="5" t="s">
        <v>1069</v>
      </c>
      <c r="HB234" s="4">
        <v>22.4</v>
      </c>
      <c r="HC234">
        <v>0</v>
      </c>
      <c r="HD234">
        <v>20</v>
      </c>
      <c r="HE234" s="26" t="s">
        <v>1358</v>
      </c>
      <c r="HF234" s="5" t="s">
        <v>1063</v>
      </c>
      <c r="HG234" s="4">
        <v>2.1</v>
      </c>
      <c r="HH234">
        <v>0</v>
      </c>
      <c r="HI234">
        <v>20</v>
      </c>
      <c r="HJ234" s="26" t="s">
        <v>1358</v>
      </c>
      <c r="HK234" t="s">
        <v>815</v>
      </c>
      <c r="HL234">
        <v>0.8</v>
      </c>
      <c r="HM234">
        <v>0</v>
      </c>
      <c r="HN234">
        <v>20</v>
      </c>
      <c r="HO234" t="s">
        <v>1</v>
      </c>
      <c r="HP234" s="26" t="s">
        <v>1358</v>
      </c>
      <c r="HZ234" t="s">
        <v>1</v>
      </c>
      <c r="IA234" t="s">
        <v>1</v>
      </c>
      <c r="IB234" s="10" t="s">
        <v>1</v>
      </c>
      <c r="IC234" s="10"/>
      <c r="ID234" s="10"/>
      <c r="IE234" s="10" t="s">
        <v>1</v>
      </c>
      <c r="IF234" s="10" t="s">
        <v>1</v>
      </c>
      <c r="IG234" t="s">
        <v>1385</v>
      </c>
      <c r="IH234" s="5">
        <f t="shared" ref="IH234" si="31">100*13%</f>
        <v>13</v>
      </c>
      <c r="II234" s="10" t="s">
        <v>1</v>
      </c>
      <c r="IJ234" s="10" t="s">
        <v>1</v>
      </c>
      <c r="IK234" t="s">
        <v>1386</v>
      </c>
      <c r="IL234" s="5">
        <f t="shared" ref="IL234" si="32">100*13%</f>
        <v>13</v>
      </c>
      <c r="IM234" s="10" t="s">
        <v>1</v>
      </c>
      <c r="IN234" s="10" t="s">
        <v>1</v>
      </c>
      <c r="IO234" s="10" t="s">
        <v>1</v>
      </c>
      <c r="IP234" s="10" t="s">
        <v>1</v>
      </c>
      <c r="IQ234" s="10" t="s">
        <v>1</v>
      </c>
      <c r="IR234" s="10" t="s">
        <v>1</v>
      </c>
      <c r="IS234" t="s">
        <v>1</v>
      </c>
      <c r="IT234" t="s">
        <v>1</v>
      </c>
      <c r="IW234" t="s">
        <v>1</v>
      </c>
      <c r="IX234" t="s">
        <v>1</v>
      </c>
      <c r="IY234" t="s">
        <v>1</v>
      </c>
      <c r="IZ234" t="s">
        <v>1</v>
      </c>
      <c r="JA234" t="s">
        <v>1</v>
      </c>
      <c r="JB234" s="3" t="s">
        <v>1</v>
      </c>
      <c r="JC234" t="s">
        <v>1</v>
      </c>
      <c r="JD234" s="4" t="s">
        <v>1</v>
      </c>
      <c r="JE234" t="s">
        <v>1</v>
      </c>
      <c r="JF234" t="s">
        <v>1</v>
      </c>
      <c r="JR234" t="s">
        <v>1066</v>
      </c>
      <c r="JS234">
        <v>13.3</v>
      </c>
      <c r="JU234" t="s">
        <v>1</v>
      </c>
      <c r="JW234" t="s">
        <v>1</v>
      </c>
      <c r="JX234">
        <v>0</v>
      </c>
      <c r="JY234">
        <v>20</v>
      </c>
      <c r="JZ234" t="s">
        <v>799</v>
      </c>
      <c r="KA234" t="s">
        <v>238</v>
      </c>
      <c r="KB234" t="s">
        <v>738</v>
      </c>
      <c r="KC234" t="s">
        <v>1</v>
      </c>
      <c r="KD234" t="s">
        <v>1</v>
      </c>
      <c r="KE234" t="s">
        <v>1</v>
      </c>
      <c r="KF234" t="s">
        <v>1</v>
      </c>
      <c r="KG234" t="s">
        <v>1</v>
      </c>
      <c r="KH234" t="s">
        <v>1</v>
      </c>
      <c r="KI234" t="s">
        <v>1</v>
      </c>
      <c r="KJ234" t="s">
        <v>1</v>
      </c>
      <c r="KK234" t="s">
        <v>1</v>
      </c>
    </row>
    <row r="235" spans="1:297" x14ac:dyDescent="0.2">
      <c r="A235">
        <v>203</v>
      </c>
      <c r="B235" t="s">
        <v>705</v>
      </c>
      <c r="C235" t="s">
        <v>239</v>
      </c>
      <c r="D235" t="s">
        <v>237</v>
      </c>
      <c r="E235">
        <v>34</v>
      </c>
      <c r="F235" t="s">
        <v>1327</v>
      </c>
      <c r="G235" t="s">
        <v>1</v>
      </c>
      <c r="H235" s="26" t="s">
        <v>1420</v>
      </c>
      <c r="I235" t="s">
        <v>1</v>
      </c>
      <c r="J235" t="s">
        <v>1</v>
      </c>
      <c r="K235" t="s">
        <v>1</v>
      </c>
      <c r="L235" t="s">
        <v>1</v>
      </c>
      <c r="M235" t="s">
        <v>1</v>
      </c>
      <c r="N235" t="s">
        <v>1</v>
      </c>
      <c r="O235" t="s">
        <v>1</v>
      </c>
      <c r="P235" t="s">
        <v>1</v>
      </c>
      <c r="Q235" t="s">
        <v>1</v>
      </c>
      <c r="R235" t="s">
        <v>1</v>
      </c>
      <c r="S235" t="s">
        <v>1</v>
      </c>
      <c r="T235" t="s">
        <v>1</v>
      </c>
      <c r="U235" t="s">
        <v>1</v>
      </c>
      <c r="V235" t="s">
        <v>1</v>
      </c>
      <c r="W235" t="s">
        <v>1</v>
      </c>
      <c r="X235" t="s">
        <v>1</v>
      </c>
      <c r="Y235" t="s">
        <v>1</v>
      </c>
      <c r="Z235" t="s">
        <v>1</v>
      </c>
      <c r="AA235" t="s">
        <v>1</v>
      </c>
      <c r="AB235" t="s">
        <v>1</v>
      </c>
      <c r="AC235" t="s">
        <v>1</v>
      </c>
      <c r="AD235" t="s">
        <v>1</v>
      </c>
      <c r="AE235" t="s">
        <v>1</v>
      </c>
      <c r="AF235" t="s">
        <v>1</v>
      </c>
      <c r="AG235" t="s">
        <v>1</v>
      </c>
      <c r="AH235" t="s">
        <v>1</v>
      </c>
      <c r="AI235" t="s">
        <v>1</v>
      </c>
      <c r="AJ235" t="s">
        <v>1</v>
      </c>
      <c r="AK235" t="s">
        <v>1</v>
      </c>
      <c r="AL235" t="s">
        <v>1</v>
      </c>
      <c r="AM235" t="s">
        <v>1</v>
      </c>
      <c r="AN235">
        <v>203</v>
      </c>
      <c r="AO235">
        <f t="shared" si="25"/>
        <v>203</v>
      </c>
      <c r="AP235">
        <f t="shared" si="26"/>
        <v>34</v>
      </c>
      <c r="AQ235">
        <f t="shared" si="27"/>
        <v>34</v>
      </c>
      <c r="AR235" s="26" t="s">
        <v>1355</v>
      </c>
      <c r="AS235" s="26" t="s">
        <v>1356</v>
      </c>
      <c r="AT235" t="s">
        <v>719</v>
      </c>
      <c r="AU235" t="s">
        <v>1</v>
      </c>
      <c r="AV235" t="s">
        <v>1</v>
      </c>
      <c r="AW235">
        <v>35.78</v>
      </c>
      <c r="AX235">
        <v>139.9</v>
      </c>
      <c r="AY235" t="s">
        <v>737</v>
      </c>
      <c r="BA235" s="3">
        <v>3</v>
      </c>
      <c r="BB235" s="3"/>
      <c r="BC235" s="3"/>
      <c r="BD235" s="3"/>
      <c r="BE235" s="3"/>
      <c r="BF235">
        <v>2005</v>
      </c>
      <c r="BG235" s="24" t="s">
        <v>732</v>
      </c>
      <c r="BH235" s="24" t="s">
        <v>733</v>
      </c>
      <c r="BI235" s="24" t="s">
        <v>733</v>
      </c>
      <c r="BJ235" s="24" t="s">
        <v>732</v>
      </c>
      <c r="BK235" s="24" t="s">
        <v>733</v>
      </c>
      <c r="BL235" s="25" t="s">
        <v>733</v>
      </c>
      <c r="BM235" s="24" t="s">
        <v>733</v>
      </c>
      <c r="BN235" s="24" t="s">
        <v>732</v>
      </c>
      <c r="BO235" s="24" t="s">
        <v>733</v>
      </c>
      <c r="BP235" s="24" t="s">
        <v>733</v>
      </c>
      <c r="BQ235" s="24" t="s">
        <v>945</v>
      </c>
      <c r="BR235" s="24" t="s">
        <v>945</v>
      </c>
      <c r="BS235" s="25" t="s">
        <v>934</v>
      </c>
      <c r="BT235" s="24" t="s">
        <v>934</v>
      </c>
      <c r="BU235" s="24" t="s">
        <v>934</v>
      </c>
      <c r="BV235" s="24" t="s">
        <v>934</v>
      </c>
      <c r="BW235" s="24" t="s">
        <v>934</v>
      </c>
      <c r="BX235" s="24" t="s">
        <v>934</v>
      </c>
      <c r="BY235" s="25" t="s">
        <v>945</v>
      </c>
      <c r="BZ235" t="s">
        <v>1414</v>
      </c>
      <c r="CB235" t="s">
        <v>1</v>
      </c>
      <c r="CC235" s="4">
        <f>1.55*10000*0.05</f>
        <v>775</v>
      </c>
      <c r="CD235" s="4"/>
      <c r="CE235" s="4"/>
      <c r="CF235" t="s">
        <v>793</v>
      </c>
      <c r="CG235">
        <v>100</v>
      </c>
      <c r="CH235" t="s">
        <v>805</v>
      </c>
      <c r="CI235" s="28">
        <v>0.3</v>
      </c>
      <c r="CJ235" s="10" t="s">
        <v>1442</v>
      </c>
      <c r="CK235" t="s">
        <v>807</v>
      </c>
      <c r="CL235" s="4">
        <v>0</v>
      </c>
      <c r="CM235" t="s">
        <v>847</v>
      </c>
      <c r="CN235" s="4">
        <f>25.6*10</f>
        <v>256</v>
      </c>
      <c r="CO235" s="4" t="s">
        <v>1</v>
      </c>
      <c r="CP235" s="4" t="s">
        <v>1</v>
      </c>
      <c r="CQ235" s="4" t="s">
        <v>1</v>
      </c>
      <c r="CR235" s="4" t="s">
        <v>1</v>
      </c>
      <c r="CS235" s="4" t="s">
        <v>1</v>
      </c>
      <c r="CT235" s="4" t="s">
        <v>1</v>
      </c>
      <c r="CU235" s="4" t="s">
        <v>1</v>
      </c>
      <c r="CV235" t="s">
        <v>855</v>
      </c>
      <c r="CW235">
        <v>100</v>
      </c>
      <c r="CX235">
        <v>0</v>
      </c>
      <c r="CY235">
        <v>20</v>
      </c>
      <c r="CZ235" s="26" t="s">
        <v>1358</v>
      </c>
      <c r="DA235" t="s">
        <v>734</v>
      </c>
      <c r="DB235">
        <v>58</v>
      </c>
      <c r="DC235">
        <v>0</v>
      </c>
      <c r="DD235">
        <v>20</v>
      </c>
      <c r="DE235" s="26" t="s">
        <v>1358</v>
      </c>
      <c r="DF235" t="s">
        <v>735</v>
      </c>
      <c r="DG235">
        <v>35.200000000000003</v>
      </c>
      <c r="DH235">
        <v>0</v>
      </c>
      <c r="DI235">
        <v>20</v>
      </c>
      <c r="DJ235" s="26" t="s">
        <v>1358</v>
      </c>
      <c r="DK235" t="s">
        <v>736</v>
      </c>
      <c r="DL235">
        <v>6.8</v>
      </c>
      <c r="DM235">
        <v>0</v>
      </c>
      <c r="DN235">
        <v>20</v>
      </c>
      <c r="DO235" s="26" t="s">
        <v>1358</v>
      </c>
      <c r="DP235" t="s">
        <v>6</v>
      </c>
      <c r="DQ235" t="s">
        <v>813</v>
      </c>
      <c r="DR235">
        <v>5.9</v>
      </c>
      <c r="DS235">
        <v>0</v>
      </c>
      <c r="DT235">
        <v>20</v>
      </c>
      <c r="DU235" s="26" t="s">
        <v>1358</v>
      </c>
      <c r="EA235" t="s">
        <v>982</v>
      </c>
      <c r="EB235">
        <v>20.9</v>
      </c>
      <c r="EC235">
        <v>0</v>
      </c>
      <c r="ED235">
        <v>20</v>
      </c>
      <c r="EE235" s="26" t="s">
        <v>1358</v>
      </c>
      <c r="EF235" s="26"/>
      <c r="FZ235" t="s">
        <v>806</v>
      </c>
      <c r="GA235">
        <v>120</v>
      </c>
      <c r="GE235" s="26" t="s">
        <v>1358</v>
      </c>
      <c r="HA235" s="5" t="s">
        <v>1069</v>
      </c>
      <c r="HB235" s="4">
        <v>22.4</v>
      </c>
      <c r="HC235">
        <v>0</v>
      </c>
      <c r="HD235">
        <v>20</v>
      </c>
      <c r="HE235" s="26" t="s">
        <v>1358</v>
      </c>
      <c r="HF235" s="5" t="s">
        <v>1063</v>
      </c>
      <c r="HG235" s="4">
        <v>2.1</v>
      </c>
      <c r="HH235">
        <v>0</v>
      </c>
      <c r="HI235">
        <v>20</v>
      </c>
      <c r="HJ235" s="26" t="s">
        <v>1358</v>
      </c>
      <c r="HK235" t="s">
        <v>815</v>
      </c>
      <c r="HL235">
        <v>0.8</v>
      </c>
      <c r="HM235">
        <v>0</v>
      </c>
      <c r="HN235">
        <v>20</v>
      </c>
      <c r="HO235" t="s">
        <v>1</v>
      </c>
      <c r="HP235" s="26" t="s">
        <v>1358</v>
      </c>
      <c r="HZ235" t="s">
        <v>969</v>
      </c>
      <c r="IA235">
        <v>300</v>
      </c>
      <c r="IB235" t="s">
        <v>845</v>
      </c>
      <c r="IE235" s="5" t="s">
        <v>1312</v>
      </c>
      <c r="IF235" s="5" t="b">
        <v>1</v>
      </c>
      <c r="IG235" t="s">
        <v>1385</v>
      </c>
      <c r="IH235" s="5">
        <f>100*13%</f>
        <v>13</v>
      </c>
      <c r="II235" s="5" t="s">
        <v>1</v>
      </c>
      <c r="IJ235" s="5" t="s">
        <v>1</v>
      </c>
      <c r="IK235" t="s">
        <v>1386</v>
      </c>
      <c r="IL235" s="5">
        <f>100*13%</f>
        <v>13</v>
      </c>
      <c r="IM235" s="5" t="s">
        <v>1</v>
      </c>
      <c r="IN235" s="5" t="s">
        <v>1</v>
      </c>
      <c r="IO235" s="5" t="s">
        <v>1</v>
      </c>
      <c r="IP235" s="5" t="s">
        <v>1</v>
      </c>
      <c r="IQ235" s="5" t="s">
        <v>1</v>
      </c>
      <c r="IR235" s="5" t="s">
        <v>1</v>
      </c>
      <c r="IS235" t="s">
        <v>1</v>
      </c>
      <c r="IT235" t="s">
        <v>1</v>
      </c>
      <c r="IW235" t="s">
        <v>1</v>
      </c>
      <c r="IX235" t="s">
        <v>1</v>
      </c>
      <c r="IY235" t="s">
        <v>1</v>
      </c>
      <c r="IZ235" t="s">
        <v>1</v>
      </c>
      <c r="JA235" t="s">
        <v>1</v>
      </c>
      <c r="JB235" s="3" t="s">
        <v>1</v>
      </c>
      <c r="JC235" t="s">
        <v>1</v>
      </c>
      <c r="JD235" s="4" t="s">
        <v>1</v>
      </c>
      <c r="JE235" t="s">
        <v>1</v>
      </c>
      <c r="JF235" t="s">
        <v>1</v>
      </c>
      <c r="JR235" t="s">
        <v>1066</v>
      </c>
      <c r="JS235">
        <v>101.8</v>
      </c>
      <c r="JU235" t="s">
        <v>1</v>
      </c>
      <c r="JW235" t="s">
        <v>1</v>
      </c>
      <c r="JX235">
        <v>0</v>
      </c>
      <c r="JY235">
        <v>20</v>
      </c>
      <c r="JZ235" t="s">
        <v>799</v>
      </c>
      <c r="KA235" t="s">
        <v>238</v>
      </c>
      <c r="KB235" t="s">
        <v>738</v>
      </c>
      <c r="KC235" t="s">
        <v>1</v>
      </c>
      <c r="KD235" t="s">
        <v>1</v>
      </c>
      <c r="KE235" t="s">
        <v>1</v>
      </c>
      <c r="KF235" t="s">
        <v>1</v>
      </c>
      <c r="KG235" t="s">
        <v>1</v>
      </c>
      <c r="KH235" t="s">
        <v>1</v>
      </c>
      <c r="KI235" t="s">
        <v>1</v>
      </c>
      <c r="KJ235" t="s">
        <v>1</v>
      </c>
      <c r="KK235" t="s">
        <v>1</v>
      </c>
    </row>
    <row r="236" spans="1:297" x14ac:dyDescent="0.2">
      <c r="A236">
        <v>204</v>
      </c>
      <c r="B236" t="s">
        <v>705</v>
      </c>
      <c r="C236" t="s">
        <v>240</v>
      </c>
      <c r="D236" t="s">
        <v>237</v>
      </c>
      <c r="E236">
        <v>34</v>
      </c>
      <c r="F236" t="s">
        <v>1327</v>
      </c>
      <c r="G236" t="s">
        <v>1</v>
      </c>
      <c r="H236" s="26" t="s">
        <v>1420</v>
      </c>
      <c r="I236" t="s">
        <v>1</v>
      </c>
      <c r="J236" t="s">
        <v>1</v>
      </c>
      <c r="K236" t="s">
        <v>1</v>
      </c>
      <c r="L236" t="s">
        <v>1</v>
      </c>
      <c r="M236" t="s">
        <v>1</v>
      </c>
      <c r="N236" t="s">
        <v>1</v>
      </c>
      <c r="O236" t="s">
        <v>1</v>
      </c>
      <c r="P236" t="s">
        <v>1</v>
      </c>
      <c r="Q236" t="s">
        <v>1</v>
      </c>
      <c r="R236" t="s">
        <v>1</v>
      </c>
      <c r="S236" t="s">
        <v>1</v>
      </c>
      <c r="T236" t="s">
        <v>1</v>
      </c>
      <c r="U236" t="s">
        <v>1</v>
      </c>
      <c r="V236" t="s">
        <v>1</v>
      </c>
      <c r="W236" t="s">
        <v>1</v>
      </c>
      <c r="X236" t="s">
        <v>1</v>
      </c>
      <c r="Y236" t="s">
        <v>1</v>
      </c>
      <c r="Z236" t="s">
        <v>1</v>
      </c>
      <c r="AA236" t="s">
        <v>1</v>
      </c>
      <c r="AB236" t="s">
        <v>1</v>
      </c>
      <c r="AC236" t="s">
        <v>1</v>
      </c>
      <c r="AD236" t="s">
        <v>1</v>
      </c>
      <c r="AE236" t="s">
        <v>1</v>
      </c>
      <c r="AF236" t="s">
        <v>1</v>
      </c>
      <c r="AG236" t="s">
        <v>1</v>
      </c>
      <c r="AH236" t="s">
        <v>1</v>
      </c>
      <c r="AI236" t="s">
        <v>1</v>
      </c>
      <c r="AJ236" t="s">
        <v>1</v>
      </c>
      <c r="AK236" t="s">
        <v>1</v>
      </c>
      <c r="AL236" t="s">
        <v>1</v>
      </c>
      <c r="AM236" t="s">
        <v>1</v>
      </c>
      <c r="AN236">
        <v>204</v>
      </c>
      <c r="AO236">
        <f t="shared" si="25"/>
        <v>204</v>
      </c>
      <c r="AP236">
        <f t="shared" si="26"/>
        <v>34</v>
      </c>
      <c r="AQ236">
        <f t="shared" si="27"/>
        <v>34</v>
      </c>
      <c r="AR236" s="26" t="s">
        <v>1355</v>
      </c>
      <c r="AS236" s="26" t="s">
        <v>1356</v>
      </c>
      <c r="AT236" t="s">
        <v>719</v>
      </c>
      <c r="AU236" t="s">
        <v>1</v>
      </c>
      <c r="AV236" t="s">
        <v>1</v>
      </c>
      <c r="AW236">
        <v>35.78</v>
      </c>
      <c r="AX236">
        <v>139.9</v>
      </c>
      <c r="AY236" t="s">
        <v>737</v>
      </c>
      <c r="BA236" s="3">
        <v>3</v>
      </c>
      <c r="BB236" s="3"/>
      <c r="BC236" s="3"/>
      <c r="BD236" s="3"/>
      <c r="BE236" s="3"/>
      <c r="BF236">
        <v>2005</v>
      </c>
      <c r="BG236" s="24" t="s">
        <v>732</v>
      </c>
      <c r="BH236" s="24" t="s">
        <v>733</v>
      </c>
      <c r="BI236" s="24" t="s">
        <v>733</v>
      </c>
      <c r="BJ236" s="24" t="s">
        <v>732</v>
      </c>
      <c r="BK236" s="24" t="s">
        <v>733</v>
      </c>
      <c r="BL236" s="25" t="s">
        <v>733</v>
      </c>
      <c r="BM236" s="24" t="s">
        <v>733</v>
      </c>
      <c r="BN236" s="24" t="s">
        <v>732</v>
      </c>
      <c r="BO236" s="24" t="s">
        <v>733</v>
      </c>
      <c r="BP236" s="24" t="s">
        <v>733</v>
      </c>
      <c r="BQ236" s="24" t="s">
        <v>945</v>
      </c>
      <c r="BR236" s="24" t="s">
        <v>945</v>
      </c>
      <c r="BS236" s="25" t="s">
        <v>934</v>
      </c>
      <c r="BT236" s="24" t="s">
        <v>934</v>
      </c>
      <c r="BU236" s="24" t="s">
        <v>934</v>
      </c>
      <c r="BV236" s="24" t="s">
        <v>934</v>
      </c>
      <c r="BW236" s="24" t="s">
        <v>934</v>
      </c>
      <c r="BX236" s="24" t="s">
        <v>934</v>
      </c>
      <c r="BY236" s="25" t="s">
        <v>945</v>
      </c>
      <c r="BZ236" t="s">
        <v>1414</v>
      </c>
      <c r="CB236" t="s">
        <v>1</v>
      </c>
      <c r="CC236" s="4">
        <f>1.26*10000*0.05</f>
        <v>630</v>
      </c>
      <c r="CD236" s="4"/>
      <c r="CE236" s="4"/>
      <c r="CF236" t="s">
        <v>793</v>
      </c>
      <c r="CG236">
        <v>100</v>
      </c>
      <c r="CH236" t="s">
        <v>805</v>
      </c>
      <c r="CI236" s="28">
        <v>0.3</v>
      </c>
      <c r="CJ236" s="10" t="s">
        <v>1442</v>
      </c>
      <c r="CK236" t="s">
        <v>807</v>
      </c>
      <c r="CL236" s="4">
        <v>0</v>
      </c>
      <c r="CM236" t="s">
        <v>847</v>
      </c>
      <c r="CN236" s="4">
        <f>17.6*10</f>
        <v>176</v>
      </c>
      <c r="CO236" s="4" t="s">
        <v>1</v>
      </c>
      <c r="CP236" s="4" t="s">
        <v>1</v>
      </c>
      <c r="CQ236" s="4" t="s">
        <v>1</v>
      </c>
      <c r="CR236" s="4" t="s">
        <v>1</v>
      </c>
      <c r="CS236" s="4" t="s">
        <v>1</v>
      </c>
      <c r="CT236" s="4" t="s">
        <v>1</v>
      </c>
      <c r="CU236" s="4" t="s">
        <v>1</v>
      </c>
      <c r="CV236" t="s">
        <v>855</v>
      </c>
      <c r="CW236">
        <v>100</v>
      </c>
      <c r="CX236">
        <v>0</v>
      </c>
      <c r="CY236">
        <v>20</v>
      </c>
      <c r="CZ236" s="26" t="s">
        <v>1358</v>
      </c>
      <c r="DA236" t="s">
        <v>734</v>
      </c>
      <c r="DB236">
        <v>58</v>
      </c>
      <c r="DC236">
        <v>0</v>
      </c>
      <c r="DD236">
        <v>20</v>
      </c>
      <c r="DE236" s="26" t="s">
        <v>1358</v>
      </c>
      <c r="DF236" t="s">
        <v>735</v>
      </c>
      <c r="DG236">
        <v>35.200000000000003</v>
      </c>
      <c r="DH236">
        <v>0</v>
      </c>
      <c r="DI236">
        <v>20</v>
      </c>
      <c r="DJ236" s="26" t="s">
        <v>1358</v>
      </c>
      <c r="DK236" t="s">
        <v>736</v>
      </c>
      <c r="DL236">
        <v>6.8</v>
      </c>
      <c r="DM236">
        <v>0</v>
      </c>
      <c r="DN236">
        <v>20</v>
      </c>
      <c r="DO236" s="26" t="s">
        <v>1358</v>
      </c>
      <c r="DP236" t="s">
        <v>6</v>
      </c>
      <c r="DQ236" t="s">
        <v>813</v>
      </c>
      <c r="DR236">
        <v>5.9</v>
      </c>
      <c r="DS236">
        <v>0</v>
      </c>
      <c r="DT236">
        <v>20</v>
      </c>
      <c r="DU236" s="26" t="s">
        <v>1358</v>
      </c>
      <c r="EA236" t="s">
        <v>982</v>
      </c>
      <c r="EB236">
        <v>20.9</v>
      </c>
      <c r="EC236">
        <v>0</v>
      </c>
      <c r="ED236">
        <v>20</v>
      </c>
      <c r="EE236" s="26" t="s">
        <v>1358</v>
      </c>
      <c r="EF236" s="26"/>
      <c r="FZ236" t="s">
        <v>806</v>
      </c>
      <c r="GA236">
        <v>120</v>
      </c>
      <c r="GE236" s="26" t="s">
        <v>1358</v>
      </c>
      <c r="HA236" s="5" t="s">
        <v>1069</v>
      </c>
      <c r="HB236" s="4">
        <v>22.4</v>
      </c>
      <c r="HC236">
        <v>0</v>
      </c>
      <c r="HD236">
        <v>20</v>
      </c>
      <c r="HE236" s="26" t="s">
        <v>1358</v>
      </c>
      <c r="HF236" s="5" t="s">
        <v>1063</v>
      </c>
      <c r="HG236" s="4">
        <v>2.1</v>
      </c>
      <c r="HH236">
        <v>0</v>
      </c>
      <c r="HI236">
        <v>20</v>
      </c>
      <c r="HJ236" s="26" t="s">
        <v>1358</v>
      </c>
      <c r="HK236" t="s">
        <v>815</v>
      </c>
      <c r="HL236">
        <v>0.8</v>
      </c>
      <c r="HM236">
        <v>0</v>
      </c>
      <c r="HN236">
        <v>20</v>
      </c>
      <c r="HO236" t="s">
        <v>1</v>
      </c>
      <c r="HP236" s="26" t="s">
        <v>1358</v>
      </c>
      <c r="HZ236" t="s">
        <v>969</v>
      </c>
      <c r="IA236">
        <v>300</v>
      </c>
      <c r="IB236" t="s">
        <v>846</v>
      </c>
      <c r="IE236" s="5" t="s">
        <v>1312</v>
      </c>
      <c r="IF236" s="5" t="b">
        <v>1</v>
      </c>
      <c r="IG236" t="s">
        <v>1385</v>
      </c>
      <c r="IH236" s="5">
        <f t="shared" ref="IH236:IH237" si="33">100*13%</f>
        <v>13</v>
      </c>
      <c r="II236" s="5" t="s">
        <v>1</v>
      </c>
      <c r="IJ236" s="5" t="s">
        <v>1</v>
      </c>
      <c r="IK236" t="s">
        <v>1386</v>
      </c>
      <c r="IL236" s="5">
        <f t="shared" ref="IL236:IL237" si="34">100*13%</f>
        <v>13</v>
      </c>
      <c r="IM236" s="5" t="s">
        <v>1</v>
      </c>
      <c r="IN236" s="5" t="s">
        <v>1</v>
      </c>
      <c r="IO236" s="5" t="s">
        <v>1</v>
      </c>
      <c r="IP236" s="5" t="s">
        <v>1</v>
      </c>
      <c r="IQ236" s="5" t="s">
        <v>1</v>
      </c>
      <c r="IR236" s="5" t="s">
        <v>1</v>
      </c>
      <c r="IS236" t="s">
        <v>1</v>
      </c>
      <c r="IT236" t="s">
        <v>1</v>
      </c>
      <c r="IW236" t="s">
        <v>1</v>
      </c>
      <c r="IX236" t="s">
        <v>1</v>
      </c>
      <c r="IY236" t="s">
        <v>1</v>
      </c>
      <c r="IZ236" t="s">
        <v>1</v>
      </c>
      <c r="JA236" t="s">
        <v>1</v>
      </c>
      <c r="JB236" s="3" t="s">
        <v>1</v>
      </c>
      <c r="JC236" t="s">
        <v>1</v>
      </c>
      <c r="JD236" s="4" t="s">
        <v>1</v>
      </c>
      <c r="JE236" t="s">
        <v>1</v>
      </c>
      <c r="JF236" t="s">
        <v>1</v>
      </c>
      <c r="JR236" t="s">
        <v>1066</v>
      </c>
      <c r="JS236">
        <v>53.1</v>
      </c>
      <c r="JU236" t="s">
        <v>1</v>
      </c>
      <c r="JW236" t="s">
        <v>1</v>
      </c>
      <c r="JX236">
        <v>0</v>
      </c>
      <c r="JY236">
        <v>20</v>
      </c>
      <c r="JZ236" t="s">
        <v>799</v>
      </c>
      <c r="KA236" t="s">
        <v>238</v>
      </c>
      <c r="KB236" t="s">
        <v>738</v>
      </c>
      <c r="KC236" t="s">
        <v>1</v>
      </c>
      <c r="KD236" t="s">
        <v>1</v>
      </c>
      <c r="KE236" t="s">
        <v>1</v>
      </c>
      <c r="KF236" t="s">
        <v>1</v>
      </c>
      <c r="KG236" t="s">
        <v>1</v>
      </c>
      <c r="KH236" t="s">
        <v>1</v>
      </c>
      <c r="KI236" t="s">
        <v>1</v>
      </c>
      <c r="KJ236" t="s">
        <v>1</v>
      </c>
      <c r="KK236" t="s">
        <v>1</v>
      </c>
    </row>
    <row r="237" spans="1:297" x14ac:dyDescent="0.2">
      <c r="A237">
        <v>205</v>
      </c>
      <c r="B237" t="s">
        <v>705</v>
      </c>
      <c r="C237" t="s">
        <v>241</v>
      </c>
      <c r="D237" t="s">
        <v>237</v>
      </c>
      <c r="E237">
        <v>34</v>
      </c>
      <c r="F237" t="s">
        <v>1327</v>
      </c>
      <c r="G237" t="s">
        <v>1</v>
      </c>
      <c r="H237" s="26" t="s">
        <v>1420</v>
      </c>
      <c r="I237" t="s">
        <v>1</v>
      </c>
      <c r="J237" t="s">
        <v>1</v>
      </c>
      <c r="K237" t="s">
        <v>1</v>
      </c>
      <c r="L237" t="s">
        <v>1</v>
      </c>
      <c r="M237" t="s">
        <v>1</v>
      </c>
      <c r="N237" t="s">
        <v>1</v>
      </c>
      <c r="O237" t="s">
        <v>1</v>
      </c>
      <c r="P237" t="s">
        <v>1</v>
      </c>
      <c r="Q237" t="s">
        <v>1</v>
      </c>
      <c r="R237" t="s">
        <v>1</v>
      </c>
      <c r="S237" t="s">
        <v>1</v>
      </c>
      <c r="T237" t="s">
        <v>1</v>
      </c>
      <c r="U237" t="s">
        <v>1</v>
      </c>
      <c r="V237" t="s">
        <v>1</v>
      </c>
      <c r="W237" t="s">
        <v>1</v>
      </c>
      <c r="X237" t="s">
        <v>1</v>
      </c>
      <c r="Y237" t="s">
        <v>1</v>
      </c>
      <c r="Z237" t="s">
        <v>1</v>
      </c>
      <c r="AA237" t="s">
        <v>1</v>
      </c>
      <c r="AB237" t="s">
        <v>1</v>
      </c>
      <c r="AC237" t="s">
        <v>1</v>
      </c>
      <c r="AD237" t="s">
        <v>1</v>
      </c>
      <c r="AE237" t="s">
        <v>1</v>
      </c>
      <c r="AF237" t="s">
        <v>1</v>
      </c>
      <c r="AG237" t="s">
        <v>1</v>
      </c>
      <c r="AH237" t="s">
        <v>1</v>
      </c>
      <c r="AI237" t="s">
        <v>1</v>
      </c>
      <c r="AJ237" t="s">
        <v>1</v>
      </c>
      <c r="AK237" t="s">
        <v>1</v>
      </c>
      <c r="AL237" t="s">
        <v>1</v>
      </c>
      <c r="AM237" t="s">
        <v>1</v>
      </c>
      <c r="AN237">
        <v>205</v>
      </c>
      <c r="AO237">
        <f t="shared" si="25"/>
        <v>205</v>
      </c>
      <c r="AP237">
        <f t="shared" si="26"/>
        <v>34</v>
      </c>
      <c r="AQ237">
        <f t="shared" si="27"/>
        <v>34</v>
      </c>
      <c r="AR237" s="26" t="s">
        <v>1355</v>
      </c>
      <c r="AS237" s="26" t="s">
        <v>1356</v>
      </c>
      <c r="AT237" t="s">
        <v>719</v>
      </c>
      <c r="AU237" t="s">
        <v>1</v>
      </c>
      <c r="AV237" t="s">
        <v>1</v>
      </c>
      <c r="AW237">
        <v>35.78</v>
      </c>
      <c r="AX237">
        <v>139.9</v>
      </c>
      <c r="AY237" t="s">
        <v>737</v>
      </c>
      <c r="BA237" s="3">
        <v>3</v>
      </c>
      <c r="BB237" s="3"/>
      <c r="BC237" s="3"/>
      <c r="BD237" s="3"/>
      <c r="BE237" s="3"/>
      <c r="BF237">
        <v>2005</v>
      </c>
      <c r="BG237" s="24" t="s">
        <v>732</v>
      </c>
      <c r="BH237" s="24" t="s">
        <v>733</v>
      </c>
      <c r="BI237" s="24" t="s">
        <v>733</v>
      </c>
      <c r="BJ237" s="24" t="s">
        <v>732</v>
      </c>
      <c r="BK237" s="24" t="s">
        <v>733</v>
      </c>
      <c r="BL237" s="25" t="s">
        <v>733</v>
      </c>
      <c r="BM237" s="24" t="s">
        <v>733</v>
      </c>
      <c r="BN237" s="24" t="s">
        <v>732</v>
      </c>
      <c r="BO237" s="24" t="s">
        <v>733</v>
      </c>
      <c r="BP237" s="24" t="s">
        <v>733</v>
      </c>
      <c r="BQ237" s="24" t="s">
        <v>945</v>
      </c>
      <c r="BR237" s="24" t="s">
        <v>945</v>
      </c>
      <c r="BS237" s="25" t="s">
        <v>934</v>
      </c>
      <c r="BT237" s="24" t="s">
        <v>934</v>
      </c>
      <c r="BU237" s="24" t="s">
        <v>934</v>
      </c>
      <c r="BV237" s="24" t="s">
        <v>934</v>
      </c>
      <c r="BW237" s="24" t="s">
        <v>934</v>
      </c>
      <c r="BX237" s="24" t="s">
        <v>934</v>
      </c>
      <c r="BY237" s="25" t="s">
        <v>945</v>
      </c>
      <c r="BZ237" t="s">
        <v>1414</v>
      </c>
      <c r="CB237" t="s">
        <v>1</v>
      </c>
      <c r="CC237" s="4">
        <f>1.55*10000*0.05</f>
        <v>775</v>
      </c>
      <c r="CD237" s="4"/>
      <c r="CE237" s="4"/>
      <c r="CF237" t="s">
        <v>793</v>
      </c>
      <c r="CG237">
        <v>100</v>
      </c>
      <c r="CH237" t="s">
        <v>805</v>
      </c>
      <c r="CI237" s="28">
        <v>0.3</v>
      </c>
      <c r="CJ237" s="10" t="s">
        <v>1442</v>
      </c>
      <c r="CK237" t="s">
        <v>807</v>
      </c>
      <c r="CL237" s="4">
        <v>0</v>
      </c>
      <c r="CM237" t="s">
        <v>847</v>
      </c>
      <c r="CN237" s="4">
        <f>26*10</f>
        <v>260</v>
      </c>
      <c r="CO237" s="4" t="s">
        <v>1</v>
      </c>
      <c r="CP237" s="4" t="s">
        <v>1</v>
      </c>
      <c r="CQ237" s="4" t="s">
        <v>1</v>
      </c>
      <c r="CR237" s="4" t="s">
        <v>1</v>
      </c>
      <c r="CS237" s="4" t="s">
        <v>1</v>
      </c>
      <c r="CT237" s="4" t="s">
        <v>1</v>
      </c>
      <c r="CU237" s="4" t="s">
        <v>1</v>
      </c>
      <c r="CV237" t="s">
        <v>855</v>
      </c>
      <c r="CW237">
        <v>100</v>
      </c>
      <c r="CX237">
        <v>0</v>
      </c>
      <c r="CY237">
        <v>20</v>
      </c>
      <c r="CZ237" s="26" t="s">
        <v>1358</v>
      </c>
      <c r="DA237" t="s">
        <v>734</v>
      </c>
      <c r="DB237">
        <v>58</v>
      </c>
      <c r="DC237">
        <v>0</v>
      </c>
      <c r="DD237">
        <v>20</v>
      </c>
      <c r="DE237" s="26" t="s">
        <v>1358</v>
      </c>
      <c r="DF237" t="s">
        <v>735</v>
      </c>
      <c r="DG237">
        <v>35.200000000000003</v>
      </c>
      <c r="DH237">
        <v>0</v>
      </c>
      <c r="DI237">
        <v>20</v>
      </c>
      <c r="DJ237" s="26" t="s">
        <v>1358</v>
      </c>
      <c r="DK237" t="s">
        <v>736</v>
      </c>
      <c r="DL237">
        <v>6.8</v>
      </c>
      <c r="DM237">
        <v>0</v>
      </c>
      <c r="DN237">
        <v>20</v>
      </c>
      <c r="DO237" s="26" t="s">
        <v>1358</v>
      </c>
      <c r="DP237" t="s">
        <v>6</v>
      </c>
      <c r="DQ237" t="s">
        <v>813</v>
      </c>
      <c r="DR237">
        <v>5.9</v>
      </c>
      <c r="DS237">
        <v>0</v>
      </c>
      <c r="DT237">
        <v>20</v>
      </c>
      <c r="DU237" s="26" t="s">
        <v>1358</v>
      </c>
      <c r="EA237" t="s">
        <v>982</v>
      </c>
      <c r="EB237">
        <v>20.9</v>
      </c>
      <c r="EC237">
        <v>0</v>
      </c>
      <c r="ED237">
        <v>20</v>
      </c>
      <c r="EE237" s="26" t="s">
        <v>1358</v>
      </c>
      <c r="EF237" s="26"/>
      <c r="FZ237" t="s">
        <v>806</v>
      </c>
      <c r="GA237">
        <v>120</v>
      </c>
      <c r="GE237" s="26" t="s">
        <v>1358</v>
      </c>
      <c r="HA237" s="5" t="s">
        <v>1069</v>
      </c>
      <c r="HB237" s="4">
        <v>22.4</v>
      </c>
      <c r="HC237">
        <v>0</v>
      </c>
      <c r="HD237">
        <v>20</v>
      </c>
      <c r="HE237" s="26" t="s">
        <v>1358</v>
      </c>
      <c r="HF237" s="5" t="s">
        <v>1063</v>
      </c>
      <c r="HG237" s="4">
        <v>2.1</v>
      </c>
      <c r="HH237">
        <v>0</v>
      </c>
      <c r="HI237">
        <v>20</v>
      </c>
      <c r="HJ237" s="26" t="s">
        <v>1358</v>
      </c>
      <c r="HK237" t="s">
        <v>815</v>
      </c>
      <c r="HL237">
        <v>0.8</v>
      </c>
      <c r="HM237">
        <v>0</v>
      </c>
      <c r="HN237">
        <v>20</v>
      </c>
      <c r="HO237" t="s">
        <v>1</v>
      </c>
      <c r="HP237" s="26" t="s">
        <v>1358</v>
      </c>
      <c r="HZ237" t="s">
        <v>969</v>
      </c>
      <c r="IA237">
        <v>300</v>
      </c>
      <c r="IB237" s="10" t="s">
        <v>1</v>
      </c>
      <c r="IC237" s="10"/>
      <c r="ID237" s="10"/>
      <c r="IE237" s="10" t="s">
        <v>1</v>
      </c>
      <c r="IF237" s="10" t="s">
        <v>1</v>
      </c>
      <c r="IG237" t="s">
        <v>1385</v>
      </c>
      <c r="IH237" s="5">
        <f t="shared" si="33"/>
        <v>13</v>
      </c>
      <c r="II237" s="10" t="s">
        <v>1</v>
      </c>
      <c r="IJ237" s="10" t="s">
        <v>1</v>
      </c>
      <c r="IK237" t="s">
        <v>1386</v>
      </c>
      <c r="IL237" s="5">
        <f t="shared" si="34"/>
        <v>13</v>
      </c>
      <c r="IM237" s="10" t="s">
        <v>1</v>
      </c>
      <c r="IN237" s="10" t="s">
        <v>1</v>
      </c>
      <c r="IO237" s="10" t="s">
        <v>1</v>
      </c>
      <c r="IP237" s="10" t="s">
        <v>1</v>
      </c>
      <c r="IQ237" s="10" t="s">
        <v>1</v>
      </c>
      <c r="IR237" s="10" t="s">
        <v>1</v>
      </c>
      <c r="IS237" t="s">
        <v>1</v>
      </c>
      <c r="IT237" t="s">
        <v>1</v>
      </c>
      <c r="IW237" t="s">
        <v>1</v>
      </c>
      <c r="IX237" t="s">
        <v>1</v>
      </c>
      <c r="IY237" t="s">
        <v>1</v>
      </c>
      <c r="IZ237" t="s">
        <v>1</v>
      </c>
      <c r="JA237" t="s">
        <v>1</v>
      </c>
      <c r="JB237" s="3" t="s">
        <v>1</v>
      </c>
      <c r="JC237" t="s">
        <v>1</v>
      </c>
      <c r="JD237" s="4" t="s">
        <v>1</v>
      </c>
      <c r="JE237" t="s">
        <v>1</v>
      </c>
      <c r="JF237" t="s">
        <v>1</v>
      </c>
      <c r="JR237" t="s">
        <v>1066</v>
      </c>
      <c r="JS237">
        <v>150.5</v>
      </c>
      <c r="JU237" t="s">
        <v>1</v>
      </c>
      <c r="JW237" t="s">
        <v>1</v>
      </c>
      <c r="JX237">
        <v>0</v>
      </c>
      <c r="JY237">
        <v>20</v>
      </c>
      <c r="JZ237" t="s">
        <v>799</v>
      </c>
      <c r="KA237" t="s">
        <v>238</v>
      </c>
      <c r="KB237" t="s">
        <v>738</v>
      </c>
      <c r="KC237" t="s">
        <v>1</v>
      </c>
      <c r="KD237" t="s">
        <v>1</v>
      </c>
      <c r="KE237" t="s">
        <v>1</v>
      </c>
      <c r="KF237" t="s">
        <v>1</v>
      </c>
      <c r="KG237" t="s">
        <v>1</v>
      </c>
      <c r="KH237" t="s">
        <v>1</v>
      </c>
      <c r="KI237" t="s">
        <v>1</v>
      </c>
      <c r="KJ237" t="s">
        <v>1</v>
      </c>
      <c r="KK237" t="s">
        <v>1</v>
      </c>
    </row>
    <row r="238" spans="1:297" x14ac:dyDescent="0.2">
      <c r="A238">
        <v>206</v>
      </c>
      <c r="B238" t="s">
        <v>705</v>
      </c>
      <c r="C238" t="s">
        <v>244</v>
      </c>
      <c r="D238" t="s">
        <v>242</v>
      </c>
      <c r="E238">
        <v>35</v>
      </c>
      <c r="F238" t="s">
        <v>243</v>
      </c>
      <c r="G238" t="s">
        <v>1</v>
      </c>
      <c r="H238" s="26" t="s">
        <v>1420</v>
      </c>
      <c r="I238" t="s">
        <v>1</v>
      </c>
      <c r="J238" t="s">
        <v>1</v>
      </c>
      <c r="K238" t="s">
        <v>1</v>
      </c>
      <c r="L238" t="s">
        <v>1</v>
      </c>
      <c r="M238" t="s">
        <v>1</v>
      </c>
      <c r="N238" t="s">
        <v>1</v>
      </c>
      <c r="O238" t="s">
        <v>1</v>
      </c>
      <c r="P238" t="s">
        <v>1</v>
      </c>
      <c r="Q238" t="s">
        <v>1</v>
      </c>
      <c r="R238" t="s">
        <v>1</v>
      </c>
      <c r="S238" t="s">
        <v>1</v>
      </c>
      <c r="T238" t="s">
        <v>1</v>
      </c>
      <c r="U238" t="s">
        <v>1</v>
      </c>
      <c r="V238" t="s">
        <v>1</v>
      </c>
      <c r="W238" t="s">
        <v>1</v>
      </c>
      <c r="X238" t="s">
        <v>1</v>
      </c>
      <c r="Y238" t="s">
        <v>1</v>
      </c>
      <c r="Z238" t="s">
        <v>1</v>
      </c>
      <c r="AA238" t="s">
        <v>1</v>
      </c>
      <c r="AB238" t="s">
        <v>1</v>
      </c>
      <c r="AC238" t="s">
        <v>1</v>
      </c>
      <c r="AD238" t="s">
        <v>1</v>
      </c>
      <c r="AE238" t="s">
        <v>1</v>
      </c>
      <c r="AF238" t="s">
        <v>1</v>
      </c>
      <c r="AG238" t="s">
        <v>1</v>
      </c>
      <c r="AH238" t="s">
        <v>1</v>
      </c>
      <c r="AI238" t="s">
        <v>1</v>
      </c>
      <c r="AJ238" t="s">
        <v>1</v>
      </c>
      <c r="AK238" t="s">
        <v>1</v>
      </c>
      <c r="AL238" t="s">
        <v>1</v>
      </c>
      <c r="AM238" t="s">
        <v>1</v>
      </c>
      <c r="AN238">
        <v>206</v>
      </c>
      <c r="AO238">
        <f t="shared" si="25"/>
        <v>206</v>
      </c>
      <c r="AP238">
        <f t="shared" si="26"/>
        <v>35</v>
      </c>
      <c r="AQ238">
        <f t="shared" si="27"/>
        <v>35</v>
      </c>
      <c r="AR238" s="26" t="s">
        <v>1355</v>
      </c>
      <c r="AS238" s="26" t="s">
        <v>1356</v>
      </c>
      <c r="AT238" t="s">
        <v>706</v>
      </c>
      <c r="AU238" t="s">
        <v>1</v>
      </c>
      <c r="AV238" t="s">
        <v>1</v>
      </c>
      <c r="AW238">
        <v>-18.100000000000001</v>
      </c>
      <c r="AX238">
        <v>31.01</v>
      </c>
      <c r="AY238" t="s">
        <v>737</v>
      </c>
      <c r="BA238" s="3">
        <v>4</v>
      </c>
      <c r="BB238" s="3"/>
      <c r="BC238" s="3"/>
      <c r="BD238" s="3"/>
      <c r="BE238" s="3"/>
      <c r="BF238">
        <v>2009</v>
      </c>
      <c r="BG238" s="24" t="s">
        <v>733</v>
      </c>
      <c r="BH238" s="24" t="s">
        <v>733</v>
      </c>
      <c r="BI238" s="24" t="s">
        <v>733</v>
      </c>
      <c r="BJ238" s="24" t="s">
        <v>732</v>
      </c>
      <c r="BK238" s="24" t="s">
        <v>733</v>
      </c>
      <c r="BL238" s="25" t="s">
        <v>733</v>
      </c>
      <c r="BM238" s="24" t="s">
        <v>733</v>
      </c>
      <c r="BN238" s="24" t="s">
        <v>732</v>
      </c>
      <c r="BO238" s="24" t="s">
        <v>733</v>
      </c>
      <c r="BP238" s="24" t="s">
        <v>733</v>
      </c>
      <c r="BQ238" s="24" t="s">
        <v>945</v>
      </c>
      <c r="BR238" s="24" t="s">
        <v>945</v>
      </c>
      <c r="BS238" s="25" t="s">
        <v>934</v>
      </c>
      <c r="BT238" s="24" t="s">
        <v>934</v>
      </c>
      <c r="BU238" s="24" t="s">
        <v>934</v>
      </c>
      <c r="BV238" s="24" t="s">
        <v>934</v>
      </c>
      <c r="BW238" s="24" t="s">
        <v>934</v>
      </c>
      <c r="BX238" s="24" t="s">
        <v>934</v>
      </c>
      <c r="BY238" s="25" t="s">
        <v>945</v>
      </c>
      <c r="BZ238" t="s">
        <v>5</v>
      </c>
      <c r="CB238" t="s">
        <v>1</v>
      </c>
      <c r="CC238" s="34" t="s">
        <v>1</v>
      </c>
      <c r="CD238" s="34"/>
      <c r="CE238" s="34"/>
      <c r="CF238" t="s">
        <v>1</v>
      </c>
      <c r="CG238" t="s">
        <v>1</v>
      </c>
      <c r="CH238" t="s">
        <v>805</v>
      </c>
      <c r="CI238" s="28">
        <v>1.6</v>
      </c>
      <c r="CJ238" s="10" t="s">
        <v>1442</v>
      </c>
      <c r="CK238" s="9" t="s">
        <v>1</v>
      </c>
      <c r="CL238" s="34" t="s">
        <v>1</v>
      </c>
      <c r="CM238" t="s">
        <v>847</v>
      </c>
      <c r="CN238" s="4">
        <f>AVERAGE(53,8.9,23.9)</f>
        <v>28.599999999999998</v>
      </c>
      <c r="CO238" s="4" t="s">
        <v>1</v>
      </c>
      <c r="CP238" s="4" t="s">
        <v>1</v>
      </c>
      <c r="CQ238" s="4" t="s">
        <v>1</v>
      </c>
      <c r="CR238" s="4" t="s">
        <v>1</v>
      </c>
      <c r="CS238" s="4" t="s">
        <v>1</v>
      </c>
      <c r="CT238" s="4" t="s">
        <v>1</v>
      </c>
      <c r="CU238" s="4" t="s">
        <v>1</v>
      </c>
      <c r="CV238" t="s">
        <v>849</v>
      </c>
      <c r="CW238">
        <v>100</v>
      </c>
      <c r="CX238">
        <v>0</v>
      </c>
      <c r="CY238">
        <v>30</v>
      </c>
      <c r="CZ238" s="26" t="s">
        <v>1358</v>
      </c>
      <c r="DA238" t="s">
        <v>734</v>
      </c>
      <c r="DB238">
        <v>23.3</v>
      </c>
      <c r="DC238">
        <v>0</v>
      </c>
      <c r="DD238">
        <v>30</v>
      </c>
      <c r="DE238" s="26" t="s">
        <v>1358</v>
      </c>
      <c r="DF238" t="s">
        <v>735</v>
      </c>
      <c r="DG238">
        <v>16.399999999999999</v>
      </c>
      <c r="DH238">
        <v>0</v>
      </c>
      <c r="DI238">
        <v>30</v>
      </c>
      <c r="DJ238" s="26" t="s">
        <v>1358</v>
      </c>
      <c r="DK238" t="s">
        <v>736</v>
      </c>
      <c r="DL238">
        <v>60.3</v>
      </c>
      <c r="DM238">
        <v>0</v>
      </c>
      <c r="DN238">
        <v>30</v>
      </c>
      <c r="DO238" s="26" t="s">
        <v>1358</v>
      </c>
      <c r="DP238" t="s">
        <v>6</v>
      </c>
      <c r="DQ238" t="s">
        <v>1</v>
      </c>
      <c r="DR238">
        <v>6.4</v>
      </c>
      <c r="DS238">
        <v>0</v>
      </c>
      <c r="DT238">
        <v>30</v>
      </c>
      <c r="DU238" s="26" t="s">
        <v>1358</v>
      </c>
      <c r="EA238" t="s">
        <v>982</v>
      </c>
      <c r="EB238">
        <v>19.899999999999999</v>
      </c>
      <c r="EC238">
        <v>0</v>
      </c>
      <c r="ED238">
        <v>30</v>
      </c>
      <c r="EE238" s="26" t="s">
        <v>1358</v>
      </c>
      <c r="EF238" s="26"/>
      <c r="FZ238" t="s">
        <v>806</v>
      </c>
      <c r="GA238">
        <v>829</v>
      </c>
      <c r="GE238" s="26" t="s">
        <v>1358</v>
      </c>
      <c r="HA238" s="5" t="s">
        <v>1069</v>
      </c>
      <c r="HB238" s="4">
        <v>12.620000000000001</v>
      </c>
      <c r="HC238">
        <v>0</v>
      </c>
      <c r="HD238">
        <v>30</v>
      </c>
      <c r="HE238" s="26" t="s">
        <v>1358</v>
      </c>
      <c r="HF238" s="5" t="s">
        <v>1063</v>
      </c>
      <c r="HG238" s="4">
        <v>1.2400000000000002</v>
      </c>
      <c r="HH238">
        <v>0</v>
      </c>
      <c r="HI238">
        <v>30</v>
      </c>
      <c r="HJ238" s="26" t="s">
        <v>1358</v>
      </c>
      <c r="HK238" t="s">
        <v>815</v>
      </c>
      <c r="HL238" s="34">
        <v>1.4646666666666666</v>
      </c>
      <c r="HM238">
        <v>0</v>
      </c>
      <c r="HN238">
        <v>30</v>
      </c>
      <c r="HO238" t="s">
        <v>1</v>
      </c>
      <c r="HP238" s="26" t="s">
        <v>1358</v>
      </c>
      <c r="HZ238" t="s">
        <v>1</v>
      </c>
      <c r="IA238" t="s">
        <v>1</v>
      </c>
      <c r="IB238" s="10" t="s">
        <v>1</v>
      </c>
      <c r="IC238" s="10"/>
      <c r="ID238" s="10"/>
      <c r="IE238" s="10" t="s">
        <v>1</v>
      </c>
      <c r="IF238" s="10" t="s">
        <v>1</v>
      </c>
      <c r="IG238" s="10"/>
      <c r="IH238" s="10"/>
      <c r="II238" s="10"/>
      <c r="IJ238" s="10"/>
      <c r="IK238" s="10"/>
      <c r="IL238" s="10"/>
      <c r="IM238" s="10"/>
      <c r="IN238" s="10"/>
      <c r="IO238" s="10"/>
      <c r="IP238" s="10"/>
      <c r="IQ238" s="10"/>
      <c r="IR238" s="10"/>
      <c r="IS238" t="s">
        <v>1</v>
      </c>
      <c r="IT238" t="s">
        <v>1</v>
      </c>
      <c r="IW238" t="s">
        <v>1</v>
      </c>
      <c r="IX238" t="s">
        <v>1</v>
      </c>
      <c r="IY238" t="s">
        <v>1</v>
      </c>
      <c r="IZ238" t="s">
        <v>1</v>
      </c>
      <c r="JA238" t="s">
        <v>1</v>
      </c>
      <c r="JB238" s="3" t="s">
        <v>1</v>
      </c>
      <c r="JC238" t="s">
        <v>1</v>
      </c>
      <c r="JD238" s="4" t="s">
        <v>1</v>
      </c>
      <c r="JE238" t="s">
        <v>810</v>
      </c>
      <c r="JF238">
        <v>100</v>
      </c>
      <c r="JR238" t="s">
        <v>1066</v>
      </c>
      <c r="JS238">
        <v>14.8</v>
      </c>
      <c r="JU238" t="s">
        <v>1</v>
      </c>
      <c r="JW238" t="s">
        <v>1</v>
      </c>
      <c r="JX238">
        <v>0</v>
      </c>
      <c r="JY238">
        <v>110.00000000000001</v>
      </c>
      <c r="JZ238" t="s">
        <v>796</v>
      </c>
      <c r="KA238" t="s">
        <v>198</v>
      </c>
      <c r="KB238" t="s">
        <v>738</v>
      </c>
      <c r="KC238" t="s">
        <v>1</v>
      </c>
      <c r="KD238" t="s">
        <v>1</v>
      </c>
      <c r="KE238" t="s">
        <v>1</v>
      </c>
      <c r="KF238" t="s">
        <v>1</v>
      </c>
      <c r="KG238" t="s">
        <v>1</v>
      </c>
      <c r="KH238" t="s">
        <v>1</v>
      </c>
      <c r="KI238" t="s">
        <v>1</v>
      </c>
      <c r="KJ238" t="s">
        <v>1</v>
      </c>
      <c r="KK238" t="s">
        <v>1</v>
      </c>
    </row>
    <row r="239" spans="1:297" x14ac:dyDescent="0.2">
      <c r="A239">
        <v>207</v>
      </c>
      <c r="B239" t="s">
        <v>705</v>
      </c>
      <c r="C239" t="s">
        <v>245</v>
      </c>
      <c r="D239" t="s">
        <v>242</v>
      </c>
      <c r="E239">
        <v>35</v>
      </c>
      <c r="F239" t="s">
        <v>243</v>
      </c>
      <c r="G239" t="s">
        <v>1</v>
      </c>
      <c r="H239" s="26" t="s">
        <v>1420</v>
      </c>
      <c r="I239" t="s">
        <v>1</v>
      </c>
      <c r="J239" t="s">
        <v>1</v>
      </c>
      <c r="K239" t="s">
        <v>1</v>
      </c>
      <c r="L239" t="s">
        <v>1</v>
      </c>
      <c r="M239" t="s">
        <v>1</v>
      </c>
      <c r="N239" t="s">
        <v>1</v>
      </c>
      <c r="O239" t="s">
        <v>1</v>
      </c>
      <c r="P239" t="s">
        <v>1</v>
      </c>
      <c r="Q239" t="s">
        <v>1</v>
      </c>
      <c r="R239" t="s">
        <v>1</v>
      </c>
      <c r="S239" t="s">
        <v>1</v>
      </c>
      <c r="T239" t="s">
        <v>1</v>
      </c>
      <c r="U239" t="s">
        <v>1</v>
      </c>
      <c r="V239" t="s">
        <v>1</v>
      </c>
      <c r="W239" t="s">
        <v>1</v>
      </c>
      <c r="X239" t="s">
        <v>1</v>
      </c>
      <c r="Y239" t="s">
        <v>1</v>
      </c>
      <c r="Z239" t="s">
        <v>1</v>
      </c>
      <c r="AA239" t="s">
        <v>1</v>
      </c>
      <c r="AB239" t="s">
        <v>1</v>
      </c>
      <c r="AC239" t="s">
        <v>1</v>
      </c>
      <c r="AD239" t="s">
        <v>1</v>
      </c>
      <c r="AE239" t="s">
        <v>1</v>
      </c>
      <c r="AF239" t="s">
        <v>1</v>
      </c>
      <c r="AG239" t="s">
        <v>1</v>
      </c>
      <c r="AH239" t="s">
        <v>1</v>
      </c>
      <c r="AI239" t="s">
        <v>1</v>
      </c>
      <c r="AJ239" t="s">
        <v>1</v>
      </c>
      <c r="AK239" t="s">
        <v>1</v>
      </c>
      <c r="AL239" t="s">
        <v>1</v>
      </c>
      <c r="AM239" t="s">
        <v>1</v>
      </c>
      <c r="AN239">
        <v>207</v>
      </c>
      <c r="AO239">
        <f t="shared" si="25"/>
        <v>207</v>
      </c>
      <c r="AP239">
        <f t="shared" si="26"/>
        <v>35</v>
      </c>
      <c r="AQ239">
        <f t="shared" si="27"/>
        <v>35</v>
      </c>
      <c r="AR239" s="26" t="s">
        <v>1355</v>
      </c>
      <c r="AS239" s="26" t="s">
        <v>1356</v>
      </c>
      <c r="AT239" t="s">
        <v>706</v>
      </c>
      <c r="AU239" t="s">
        <v>1</v>
      </c>
      <c r="AV239" t="s">
        <v>1</v>
      </c>
      <c r="AW239">
        <v>-18.100000000000001</v>
      </c>
      <c r="AX239">
        <v>31.01</v>
      </c>
      <c r="AY239" t="s">
        <v>737</v>
      </c>
      <c r="BA239" s="3">
        <v>4</v>
      </c>
      <c r="BB239" s="3"/>
      <c r="BC239" s="3"/>
      <c r="BD239" s="3"/>
      <c r="BE239" s="3"/>
      <c r="BF239">
        <v>2009</v>
      </c>
      <c r="BG239" s="24" t="s">
        <v>733</v>
      </c>
      <c r="BH239" s="24" t="s">
        <v>733</v>
      </c>
      <c r="BI239" s="24" t="s">
        <v>733</v>
      </c>
      <c r="BJ239" s="24" t="s">
        <v>732</v>
      </c>
      <c r="BK239" s="24" t="s">
        <v>733</v>
      </c>
      <c r="BL239" s="25" t="s">
        <v>733</v>
      </c>
      <c r="BM239" s="24" t="s">
        <v>733</v>
      </c>
      <c r="BN239" s="24" t="s">
        <v>732</v>
      </c>
      <c r="BO239" s="24" t="s">
        <v>733</v>
      </c>
      <c r="BP239" s="24" t="s">
        <v>733</v>
      </c>
      <c r="BQ239" s="24" t="s">
        <v>945</v>
      </c>
      <c r="BR239" s="24" t="s">
        <v>945</v>
      </c>
      <c r="BS239" s="25" t="s">
        <v>934</v>
      </c>
      <c r="BT239" s="24" t="s">
        <v>934</v>
      </c>
      <c r="BU239" s="24" t="s">
        <v>934</v>
      </c>
      <c r="BV239" s="24" t="s">
        <v>934</v>
      </c>
      <c r="BW239" s="24" t="s">
        <v>934</v>
      </c>
      <c r="BX239" s="24" t="s">
        <v>934</v>
      </c>
      <c r="BY239" s="25" t="s">
        <v>945</v>
      </c>
      <c r="BZ239" t="s">
        <v>5</v>
      </c>
      <c r="CB239" t="s">
        <v>1</v>
      </c>
      <c r="CC239" s="34" t="s">
        <v>1</v>
      </c>
      <c r="CD239" s="34"/>
      <c r="CE239" s="34"/>
      <c r="CF239" t="s">
        <v>1</v>
      </c>
      <c r="CG239" t="s">
        <v>1</v>
      </c>
      <c r="CH239" t="s">
        <v>805</v>
      </c>
      <c r="CI239" s="28">
        <v>1.6</v>
      </c>
      <c r="CJ239" s="10" t="s">
        <v>1442</v>
      </c>
      <c r="CK239" s="9" t="s">
        <v>1</v>
      </c>
      <c r="CL239" s="34" t="s">
        <v>1</v>
      </c>
      <c r="CM239" t="s">
        <v>847</v>
      </c>
      <c r="CN239" s="4">
        <f>AVERAGE(60.8,22.5,34.8)</f>
        <v>39.366666666666667</v>
      </c>
      <c r="CO239" s="4" t="s">
        <v>1</v>
      </c>
      <c r="CP239" s="4" t="s">
        <v>1</v>
      </c>
      <c r="CQ239" s="4" t="s">
        <v>1</v>
      </c>
      <c r="CR239" s="4" t="s">
        <v>1</v>
      </c>
      <c r="CS239" s="4" t="s">
        <v>1</v>
      </c>
      <c r="CT239" s="4" t="s">
        <v>1</v>
      </c>
      <c r="CU239" s="4" t="s">
        <v>1</v>
      </c>
      <c r="CV239" t="s">
        <v>849</v>
      </c>
      <c r="CW239">
        <v>100</v>
      </c>
      <c r="CX239">
        <v>0</v>
      </c>
      <c r="CY239">
        <v>30</v>
      </c>
      <c r="CZ239" s="26" t="s">
        <v>1358</v>
      </c>
      <c r="DA239" t="s">
        <v>734</v>
      </c>
      <c r="DB239">
        <v>23.3</v>
      </c>
      <c r="DC239">
        <v>0</v>
      </c>
      <c r="DD239">
        <v>30</v>
      </c>
      <c r="DE239" s="26" t="s">
        <v>1358</v>
      </c>
      <c r="DF239" t="s">
        <v>735</v>
      </c>
      <c r="DG239">
        <v>16.399999999999999</v>
      </c>
      <c r="DH239">
        <v>0</v>
      </c>
      <c r="DI239">
        <v>30</v>
      </c>
      <c r="DJ239" s="26" t="s">
        <v>1358</v>
      </c>
      <c r="DK239" t="s">
        <v>736</v>
      </c>
      <c r="DL239">
        <v>60.3</v>
      </c>
      <c r="DM239">
        <v>0</v>
      </c>
      <c r="DN239">
        <v>30</v>
      </c>
      <c r="DO239" s="26" t="s">
        <v>1358</v>
      </c>
      <c r="DP239" t="s">
        <v>6</v>
      </c>
      <c r="DQ239" t="s">
        <v>1</v>
      </c>
      <c r="DR239">
        <v>6.4</v>
      </c>
      <c r="DS239">
        <v>0</v>
      </c>
      <c r="DT239">
        <v>30</v>
      </c>
      <c r="DU239" s="26" t="s">
        <v>1358</v>
      </c>
      <c r="EA239" t="s">
        <v>982</v>
      </c>
      <c r="EB239">
        <v>19.899999999999999</v>
      </c>
      <c r="EC239">
        <v>0</v>
      </c>
      <c r="ED239">
        <v>30</v>
      </c>
      <c r="EE239" s="26" t="s">
        <v>1358</v>
      </c>
      <c r="EF239" s="26"/>
      <c r="FZ239" t="s">
        <v>806</v>
      </c>
      <c r="GA239">
        <v>829</v>
      </c>
      <c r="GE239" s="26" t="s">
        <v>1358</v>
      </c>
      <c r="HA239" s="5" t="s">
        <v>1069</v>
      </c>
      <c r="HB239" s="4">
        <v>12.620000000000001</v>
      </c>
      <c r="HC239">
        <v>0</v>
      </c>
      <c r="HD239">
        <v>30</v>
      </c>
      <c r="HE239" s="26" t="s">
        <v>1358</v>
      </c>
      <c r="HF239" s="5" t="s">
        <v>1063</v>
      </c>
      <c r="HG239" s="4">
        <v>1.2400000000000002</v>
      </c>
      <c r="HH239">
        <v>0</v>
      </c>
      <c r="HI239">
        <v>30</v>
      </c>
      <c r="HJ239" s="26" t="s">
        <v>1358</v>
      </c>
      <c r="HK239" t="s">
        <v>815</v>
      </c>
      <c r="HL239" s="34">
        <v>1.4646666666666666</v>
      </c>
      <c r="HM239">
        <v>0</v>
      </c>
      <c r="HN239">
        <v>30</v>
      </c>
      <c r="HO239" t="s">
        <v>1</v>
      </c>
      <c r="HP239" s="26" t="s">
        <v>1358</v>
      </c>
      <c r="HZ239" t="s">
        <v>966</v>
      </c>
      <c r="IA239">
        <v>60</v>
      </c>
      <c r="IB239" s="5" t="s">
        <v>1</v>
      </c>
      <c r="IC239" s="5"/>
      <c r="ID239" s="5"/>
      <c r="IE239" s="10" t="s">
        <v>1</v>
      </c>
      <c r="IF239" s="10" t="s">
        <v>1</v>
      </c>
      <c r="IG239" s="10"/>
      <c r="IH239" s="10"/>
      <c r="II239" s="10"/>
      <c r="IJ239" s="10"/>
      <c r="IK239" s="10"/>
      <c r="IL239" s="10"/>
      <c r="IM239" s="10"/>
      <c r="IN239" s="10"/>
      <c r="IO239" s="10"/>
      <c r="IP239" s="10"/>
      <c r="IQ239" s="10"/>
      <c r="IR239" s="10"/>
      <c r="IS239" t="s">
        <v>1</v>
      </c>
      <c r="IT239" t="s">
        <v>1</v>
      </c>
      <c r="IW239" t="s">
        <v>1</v>
      </c>
      <c r="IX239" t="s">
        <v>1</v>
      </c>
      <c r="IY239" t="s">
        <v>1</v>
      </c>
      <c r="IZ239" t="s">
        <v>1</v>
      </c>
      <c r="JA239" t="s">
        <v>1</v>
      </c>
      <c r="JB239" s="3" t="s">
        <v>1</v>
      </c>
      <c r="JC239" t="s">
        <v>1</v>
      </c>
      <c r="JD239" s="4" t="s">
        <v>1</v>
      </c>
      <c r="JE239" t="s">
        <v>810</v>
      </c>
      <c r="JF239">
        <v>100</v>
      </c>
      <c r="JR239" t="s">
        <v>1066</v>
      </c>
      <c r="JS239">
        <v>44</v>
      </c>
      <c r="JU239" t="s">
        <v>1</v>
      </c>
      <c r="JW239" t="s">
        <v>1</v>
      </c>
      <c r="JX239">
        <v>0</v>
      </c>
      <c r="JY239">
        <v>110.00000000000001</v>
      </c>
      <c r="JZ239" t="s">
        <v>796</v>
      </c>
      <c r="KA239" t="s">
        <v>198</v>
      </c>
      <c r="KB239" t="s">
        <v>738</v>
      </c>
      <c r="KC239" t="s">
        <v>1</v>
      </c>
      <c r="KD239" t="s">
        <v>1</v>
      </c>
      <c r="KE239" t="s">
        <v>1</v>
      </c>
      <c r="KF239" t="s">
        <v>1</v>
      </c>
      <c r="KG239" t="s">
        <v>1</v>
      </c>
      <c r="KH239" t="s">
        <v>1</v>
      </c>
      <c r="KI239" t="s">
        <v>1</v>
      </c>
      <c r="KJ239" t="s">
        <v>1</v>
      </c>
      <c r="KK239" t="s">
        <v>1</v>
      </c>
    </row>
    <row r="240" spans="1:297" x14ac:dyDescent="0.2">
      <c r="A240">
        <v>208</v>
      </c>
      <c r="B240" t="s">
        <v>705</v>
      </c>
      <c r="C240" t="s">
        <v>246</v>
      </c>
      <c r="D240" t="s">
        <v>242</v>
      </c>
      <c r="E240">
        <v>35</v>
      </c>
      <c r="F240" t="s">
        <v>243</v>
      </c>
      <c r="G240" t="s">
        <v>1</v>
      </c>
      <c r="H240" s="26" t="s">
        <v>1420</v>
      </c>
      <c r="I240" t="s">
        <v>1</v>
      </c>
      <c r="J240" t="s">
        <v>1</v>
      </c>
      <c r="K240" t="s">
        <v>1</v>
      </c>
      <c r="L240" t="s">
        <v>1</v>
      </c>
      <c r="M240" t="s">
        <v>1</v>
      </c>
      <c r="N240" t="s">
        <v>1</v>
      </c>
      <c r="O240" t="s">
        <v>1</v>
      </c>
      <c r="P240" t="s">
        <v>1</v>
      </c>
      <c r="Q240" t="s">
        <v>1</v>
      </c>
      <c r="R240" t="s">
        <v>1</v>
      </c>
      <c r="S240" t="s">
        <v>1</v>
      </c>
      <c r="T240" t="s">
        <v>1</v>
      </c>
      <c r="U240" t="s">
        <v>1</v>
      </c>
      <c r="V240" t="s">
        <v>1</v>
      </c>
      <c r="W240" t="s">
        <v>1</v>
      </c>
      <c r="X240" t="s">
        <v>1</v>
      </c>
      <c r="Y240" t="s">
        <v>1</v>
      </c>
      <c r="Z240" t="s">
        <v>1</v>
      </c>
      <c r="AA240" t="s">
        <v>1</v>
      </c>
      <c r="AB240" t="s">
        <v>1</v>
      </c>
      <c r="AC240" t="s">
        <v>1</v>
      </c>
      <c r="AD240" t="s">
        <v>1</v>
      </c>
      <c r="AE240" t="s">
        <v>1</v>
      </c>
      <c r="AF240" t="s">
        <v>1</v>
      </c>
      <c r="AG240" t="s">
        <v>1</v>
      </c>
      <c r="AH240" t="s">
        <v>1</v>
      </c>
      <c r="AI240" t="s">
        <v>1</v>
      </c>
      <c r="AJ240" t="s">
        <v>1</v>
      </c>
      <c r="AK240" t="s">
        <v>1</v>
      </c>
      <c r="AL240" t="s">
        <v>1</v>
      </c>
      <c r="AM240" t="s">
        <v>1</v>
      </c>
      <c r="AN240">
        <v>208</v>
      </c>
      <c r="AO240">
        <f t="shared" si="25"/>
        <v>208</v>
      </c>
      <c r="AP240">
        <f t="shared" si="26"/>
        <v>35</v>
      </c>
      <c r="AQ240">
        <f t="shared" si="27"/>
        <v>35</v>
      </c>
      <c r="AR240" s="26" t="s">
        <v>1355</v>
      </c>
      <c r="AS240" s="26" t="s">
        <v>1356</v>
      </c>
      <c r="AT240" t="s">
        <v>706</v>
      </c>
      <c r="AU240" t="s">
        <v>1</v>
      </c>
      <c r="AV240" t="s">
        <v>1</v>
      </c>
      <c r="AW240">
        <v>-18.100000000000001</v>
      </c>
      <c r="AX240">
        <v>31.01</v>
      </c>
      <c r="AY240" t="s">
        <v>737</v>
      </c>
      <c r="BA240" s="3">
        <v>4</v>
      </c>
      <c r="BB240" s="3"/>
      <c r="BC240" s="3"/>
      <c r="BD240" s="3"/>
      <c r="BE240" s="3"/>
      <c r="BF240">
        <v>2009</v>
      </c>
      <c r="BG240" s="24" t="s">
        <v>733</v>
      </c>
      <c r="BH240" s="24" t="s">
        <v>733</v>
      </c>
      <c r="BI240" s="24" t="s">
        <v>733</v>
      </c>
      <c r="BJ240" s="24" t="s">
        <v>732</v>
      </c>
      <c r="BK240" s="24" t="s">
        <v>733</v>
      </c>
      <c r="BL240" s="25" t="s">
        <v>733</v>
      </c>
      <c r="BM240" s="24" t="s">
        <v>733</v>
      </c>
      <c r="BN240" s="24" t="s">
        <v>732</v>
      </c>
      <c r="BO240" s="24" t="s">
        <v>733</v>
      </c>
      <c r="BP240" s="24" t="s">
        <v>733</v>
      </c>
      <c r="BQ240" s="24" t="s">
        <v>945</v>
      </c>
      <c r="BR240" s="24" t="s">
        <v>945</v>
      </c>
      <c r="BS240" s="25" t="s">
        <v>934</v>
      </c>
      <c r="BT240" s="24" t="s">
        <v>934</v>
      </c>
      <c r="BU240" s="24" t="s">
        <v>934</v>
      </c>
      <c r="BV240" s="24" t="s">
        <v>934</v>
      </c>
      <c r="BW240" s="24" t="s">
        <v>934</v>
      </c>
      <c r="BX240" s="24" t="s">
        <v>934</v>
      </c>
      <c r="BY240" s="25" t="s">
        <v>945</v>
      </c>
      <c r="BZ240" t="s">
        <v>5</v>
      </c>
      <c r="CB240" t="s">
        <v>1</v>
      </c>
      <c r="CC240" s="34" t="s">
        <v>1</v>
      </c>
      <c r="CD240" s="34"/>
      <c r="CE240" s="34"/>
      <c r="CF240" t="s">
        <v>1</v>
      </c>
      <c r="CG240" t="s">
        <v>1</v>
      </c>
      <c r="CH240" t="s">
        <v>805</v>
      </c>
      <c r="CI240" s="28">
        <v>1.6</v>
      </c>
      <c r="CJ240" s="10" t="s">
        <v>1442</v>
      </c>
      <c r="CK240" s="9" t="s">
        <v>1</v>
      </c>
      <c r="CL240" s="34" t="s">
        <v>1</v>
      </c>
      <c r="CM240" t="s">
        <v>847</v>
      </c>
      <c r="CN240" s="4">
        <f>AVERAGE(63.2,30.6,53.3)</f>
        <v>49.033333333333339</v>
      </c>
      <c r="CO240" s="4" t="s">
        <v>1</v>
      </c>
      <c r="CP240" s="4" t="s">
        <v>1</v>
      </c>
      <c r="CQ240" s="4" t="s">
        <v>1</v>
      </c>
      <c r="CR240" s="4" t="s">
        <v>1</v>
      </c>
      <c r="CS240" s="4" t="s">
        <v>1</v>
      </c>
      <c r="CT240" s="4" t="s">
        <v>1</v>
      </c>
      <c r="CU240" s="4" t="s">
        <v>1</v>
      </c>
      <c r="CV240" t="s">
        <v>849</v>
      </c>
      <c r="CW240">
        <v>100</v>
      </c>
      <c r="CX240">
        <v>0</v>
      </c>
      <c r="CY240">
        <v>30</v>
      </c>
      <c r="CZ240" s="26" t="s">
        <v>1358</v>
      </c>
      <c r="DA240" t="s">
        <v>734</v>
      </c>
      <c r="DB240">
        <v>23.3</v>
      </c>
      <c r="DC240">
        <v>0</v>
      </c>
      <c r="DD240">
        <v>30</v>
      </c>
      <c r="DE240" s="26" t="s">
        <v>1358</v>
      </c>
      <c r="DF240" t="s">
        <v>735</v>
      </c>
      <c r="DG240">
        <v>16.399999999999999</v>
      </c>
      <c r="DH240">
        <v>0</v>
      </c>
      <c r="DI240">
        <v>30</v>
      </c>
      <c r="DJ240" s="26" t="s">
        <v>1358</v>
      </c>
      <c r="DK240" t="s">
        <v>736</v>
      </c>
      <c r="DL240">
        <v>60.3</v>
      </c>
      <c r="DM240">
        <v>0</v>
      </c>
      <c r="DN240">
        <v>30</v>
      </c>
      <c r="DO240" s="26" t="s">
        <v>1358</v>
      </c>
      <c r="DP240" t="s">
        <v>6</v>
      </c>
      <c r="DQ240" t="s">
        <v>1</v>
      </c>
      <c r="DR240">
        <v>6.4</v>
      </c>
      <c r="DS240">
        <v>0</v>
      </c>
      <c r="DT240">
        <v>30</v>
      </c>
      <c r="DU240" s="26" t="s">
        <v>1358</v>
      </c>
      <c r="EA240" t="s">
        <v>982</v>
      </c>
      <c r="EB240">
        <v>19.899999999999999</v>
      </c>
      <c r="EC240">
        <v>0</v>
      </c>
      <c r="ED240">
        <v>30</v>
      </c>
      <c r="EE240" s="26" t="s">
        <v>1358</v>
      </c>
      <c r="EF240" s="26"/>
      <c r="FZ240" t="s">
        <v>806</v>
      </c>
      <c r="GA240">
        <v>829</v>
      </c>
      <c r="GE240" s="26" t="s">
        <v>1358</v>
      </c>
      <c r="HA240" s="5" t="s">
        <v>1069</v>
      </c>
      <c r="HB240" s="4">
        <v>12.620000000000001</v>
      </c>
      <c r="HC240">
        <v>0</v>
      </c>
      <c r="HD240">
        <v>30</v>
      </c>
      <c r="HE240" s="26" t="s">
        <v>1358</v>
      </c>
      <c r="HF240" s="5" t="s">
        <v>1063</v>
      </c>
      <c r="HG240" s="4">
        <v>1.2400000000000002</v>
      </c>
      <c r="HH240">
        <v>0</v>
      </c>
      <c r="HI240">
        <v>30</v>
      </c>
      <c r="HJ240" s="26" t="s">
        <v>1358</v>
      </c>
      <c r="HK240" t="s">
        <v>815</v>
      </c>
      <c r="HL240" s="34">
        <v>1.4646666666666666</v>
      </c>
      <c r="HM240">
        <v>0</v>
      </c>
      <c r="HN240">
        <v>30</v>
      </c>
      <c r="HO240" t="s">
        <v>1</v>
      </c>
      <c r="HP240" s="26" t="s">
        <v>1358</v>
      </c>
      <c r="HZ240" t="s">
        <v>966</v>
      </c>
      <c r="IA240">
        <v>120</v>
      </c>
      <c r="IB240" s="5" t="s">
        <v>1</v>
      </c>
      <c r="IC240" s="5"/>
      <c r="ID240" s="5"/>
      <c r="IE240" s="10" t="s">
        <v>1</v>
      </c>
      <c r="IF240" s="10" t="s">
        <v>1</v>
      </c>
      <c r="IG240" s="10"/>
      <c r="IH240" s="10"/>
      <c r="II240" s="10"/>
      <c r="IJ240" s="10"/>
      <c r="IK240" s="10"/>
      <c r="IL240" s="10"/>
      <c r="IM240" s="10"/>
      <c r="IN240" s="10"/>
      <c r="IO240" s="10"/>
      <c r="IP240" s="10"/>
      <c r="IQ240" s="10"/>
      <c r="IR240" s="10"/>
      <c r="IS240" t="s">
        <v>1</v>
      </c>
      <c r="IT240" t="s">
        <v>1</v>
      </c>
      <c r="IW240" t="s">
        <v>1</v>
      </c>
      <c r="IX240" t="s">
        <v>1</v>
      </c>
      <c r="IY240" t="s">
        <v>1</v>
      </c>
      <c r="IZ240" t="s">
        <v>1</v>
      </c>
      <c r="JA240" t="s">
        <v>1</v>
      </c>
      <c r="JB240" s="3" t="s">
        <v>1</v>
      </c>
      <c r="JC240" t="s">
        <v>1</v>
      </c>
      <c r="JD240" s="4" t="s">
        <v>1</v>
      </c>
      <c r="JE240" t="s">
        <v>810</v>
      </c>
      <c r="JF240">
        <v>100</v>
      </c>
      <c r="JR240" t="s">
        <v>1066</v>
      </c>
      <c r="JS240">
        <v>42.3</v>
      </c>
      <c r="JU240" t="s">
        <v>1</v>
      </c>
      <c r="JW240" t="s">
        <v>1</v>
      </c>
      <c r="JX240">
        <v>0</v>
      </c>
      <c r="JY240">
        <v>110.00000000000001</v>
      </c>
      <c r="JZ240" t="s">
        <v>796</v>
      </c>
      <c r="KA240" t="s">
        <v>198</v>
      </c>
      <c r="KB240" t="s">
        <v>738</v>
      </c>
      <c r="KC240" t="s">
        <v>1</v>
      </c>
      <c r="KD240" t="s">
        <v>1</v>
      </c>
      <c r="KE240" t="s">
        <v>1</v>
      </c>
      <c r="KF240" t="s">
        <v>1</v>
      </c>
      <c r="KG240" t="s">
        <v>1</v>
      </c>
      <c r="KH240" t="s">
        <v>1</v>
      </c>
      <c r="KI240" t="s">
        <v>1</v>
      </c>
      <c r="KJ240" t="s">
        <v>1</v>
      </c>
      <c r="KK240" t="s">
        <v>1</v>
      </c>
    </row>
    <row r="241" spans="1:297" x14ac:dyDescent="0.2">
      <c r="A241">
        <v>209</v>
      </c>
      <c r="B241" t="s">
        <v>705</v>
      </c>
      <c r="C241" t="s">
        <v>247</v>
      </c>
      <c r="D241" t="s">
        <v>242</v>
      </c>
      <c r="E241">
        <v>35</v>
      </c>
      <c r="F241" t="s">
        <v>243</v>
      </c>
      <c r="G241" t="s">
        <v>1</v>
      </c>
      <c r="H241" s="26" t="s">
        <v>1420</v>
      </c>
      <c r="I241" t="s">
        <v>1</v>
      </c>
      <c r="J241" t="s">
        <v>1</v>
      </c>
      <c r="K241" t="s">
        <v>1</v>
      </c>
      <c r="L241" t="s">
        <v>1</v>
      </c>
      <c r="M241" t="s">
        <v>1</v>
      </c>
      <c r="N241" t="s">
        <v>1</v>
      </c>
      <c r="O241" t="s">
        <v>1</v>
      </c>
      <c r="P241" t="s">
        <v>1</v>
      </c>
      <c r="Q241" t="s">
        <v>1</v>
      </c>
      <c r="R241" t="s">
        <v>1</v>
      </c>
      <c r="S241" t="s">
        <v>1</v>
      </c>
      <c r="T241" t="s">
        <v>1</v>
      </c>
      <c r="U241" t="s">
        <v>1</v>
      </c>
      <c r="V241" t="s">
        <v>1</v>
      </c>
      <c r="W241" t="s">
        <v>1</v>
      </c>
      <c r="X241" t="s">
        <v>1</v>
      </c>
      <c r="Y241" t="s">
        <v>1</v>
      </c>
      <c r="Z241" t="s">
        <v>1</v>
      </c>
      <c r="AA241" t="s">
        <v>1</v>
      </c>
      <c r="AB241" t="s">
        <v>1</v>
      </c>
      <c r="AC241" t="s">
        <v>1</v>
      </c>
      <c r="AD241" t="s">
        <v>1</v>
      </c>
      <c r="AE241" t="s">
        <v>1</v>
      </c>
      <c r="AF241" t="s">
        <v>1</v>
      </c>
      <c r="AG241" t="s">
        <v>1</v>
      </c>
      <c r="AH241" t="s">
        <v>1</v>
      </c>
      <c r="AI241" t="s">
        <v>1</v>
      </c>
      <c r="AJ241" t="s">
        <v>1</v>
      </c>
      <c r="AK241" t="s">
        <v>1</v>
      </c>
      <c r="AL241" t="s">
        <v>1</v>
      </c>
      <c r="AM241" t="s">
        <v>1</v>
      </c>
      <c r="AN241">
        <v>209</v>
      </c>
      <c r="AO241">
        <f t="shared" si="25"/>
        <v>209</v>
      </c>
      <c r="AP241">
        <f t="shared" si="26"/>
        <v>35</v>
      </c>
      <c r="AQ241">
        <f t="shared" si="27"/>
        <v>35</v>
      </c>
      <c r="AR241" s="26" t="s">
        <v>1355</v>
      </c>
      <c r="AS241" s="26" t="s">
        <v>1356</v>
      </c>
      <c r="AT241" t="s">
        <v>706</v>
      </c>
      <c r="AU241" t="s">
        <v>1</v>
      </c>
      <c r="AV241" t="s">
        <v>1</v>
      </c>
      <c r="AW241">
        <v>-17.600000000000001</v>
      </c>
      <c r="AX241">
        <v>31.14</v>
      </c>
      <c r="AY241" t="s">
        <v>737</v>
      </c>
      <c r="BA241" s="3">
        <v>4</v>
      </c>
      <c r="BB241" s="3"/>
      <c r="BC241" s="3"/>
      <c r="BD241" s="3"/>
      <c r="BE241" s="3"/>
      <c r="BF241">
        <v>2009</v>
      </c>
      <c r="BG241" s="24" t="s">
        <v>733</v>
      </c>
      <c r="BH241" s="24" t="s">
        <v>733</v>
      </c>
      <c r="BI241" s="24" t="s">
        <v>733</v>
      </c>
      <c r="BJ241" s="24" t="s">
        <v>732</v>
      </c>
      <c r="BK241" s="24" t="s">
        <v>733</v>
      </c>
      <c r="BL241" s="25" t="s">
        <v>733</v>
      </c>
      <c r="BM241" s="24" t="s">
        <v>733</v>
      </c>
      <c r="BN241" s="24" t="s">
        <v>732</v>
      </c>
      <c r="BO241" s="24" t="s">
        <v>733</v>
      </c>
      <c r="BP241" s="24" t="s">
        <v>733</v>
      </c>
      <c r="BQ241" s="24" t="s">
        <v>945</v>
      </c>
      <c r="BR241" s="24" t="s">
        <v>945</v>
      </c>
      <c r="BS241" s="25" t="s">
        <v>934</v>
      </c>
      <c r="BT241" s="24" t="s">
        <v>934</v>
      </c>
      <c r="BU241" s="24" t="s">
        <v>934</v>
      </c>
      <c r="BV241" s="24" t="s">
        <v>934</v>
      </c>
      <c r="BW241" s="24" t="s">
        <v>934</v>
      </c>
      <c r="BX241" s="24" t="s">
        <v>934</v>
      </c>
      <c r="BY241" s="25" t="s">
        <v>945</v>
      </c>
      <c r="BZ241" t="s">
        <v>5</v>
      </c>
      <c r="CB241" t="s">
        <v>1</v>
      </c>
      <c r="CC241" s="34" t="s">
        <v>1</v>
      </c>
      <c r="CD241" s="34"/>
      <c r="CE241" s="34"/>
      <c r="CF241" t="s">
        <v>1</v>
      </c>
      <c r="CG241" t="s">
        <v>1</v>
      </c>
      <c r="CH241" t="s">
        <v>805</v>
      </c>
      <c r="CI241" s="28">
        <v>1.6</v>
      </c>
      <c r="CJ241" s="10" t="s">
        <v>1442</v>
      </c>
      <c r="CK241" s="9" t="s">
        <v>1</v>
      </c>
      <c r="CL241" s="34" t="s">
        <v>1</v>
      </c>
      <c r="CM241" t="s">
        <v>847</v>
      </c>
      <c r="CN241" s="4">
        <f>AVERAGE(19.7,2.3,13.7)</f>
        <v>11.9</v>
      </c>
      <c r="CO241" s="4" t="s">
        <v>1</v>
      </c>
      <c r="CP241" s="4" t="s">
        <v>1</v>
      </c>
      <c r="CQ241" s="4" t="s">
        <v>1</v>
      </c>
      <c r="CR241" s="4" t="s">
        <v>1</v>
      </c>
      <c r="CS241" s="4" t="s">
        <v>1</v>
      </c>
      <c r="CT241" s="4" t="s">
        <v>1</v>
      </c>
      <c r="CU241" s="4" t="s">
        <v>1</v>
      </c>
      <c r="CV241" s="37" t="s">
        <v>855</v>
      </c>
      <c r="CW241">
        <v>100</v>
      </c>
      <c r="CX241">
        <v>0</v>
      </c>
      <c r="CY241">
        <v>30</v>
      </c>
      <c r="CZ241" s="26" t="s">
        <v>1358</v>
      </c>
      <c r="DA241" t="s">
        <v>734</v>
      </c>
      <c r="DB241">
        <v>78.5</v>
      </c>
      <c r="DC241">
        <v>0</v>
      </c>
      <c r="DD241">
        <v>30</v>
      </c>
      <c r="DE241" s="26" t="s">
        <v>1358</v>
      </c>
      <c r="DF241" t="s">
        <v>735</v>
      </c>
      <c r="DG241">
        <v>5.6</v>
      </c>
      <c r="DH241">
        <v>0</v>
      </c>
      <c r="DI241">
        <v>30</v>
      </c>
      <c r="DJ241" s="26" t="s">
        <v>1358</v>
      </c>
      <c r="DK241" t="s">
        <v>736</v>
      </c>
      <c r="DL241">
        <v>15.9</v>
      </c>
      <c r="DM241">
        <v>0</v>
      </c>
      <c r="DN241">
        <v>30</v>
      </c>
      <c r="DO241" s="26" t="s">
        <v>1358</v>
      </c>
      <c r="DP241" t="s">
        <v>6</v>
      </c>
      <c r="DQ241" t="s">
        <v>1</v>
      </c>
      <c r="DR241">
        <v>5.6</v>
      </c>
      <c r="DS241">
        <v>0</v>
      </c>
      <c r="DT241">
        <v>30</v>
      </c>
      <c r="DU241" s="26" t="s">
        <v>1358</v>
      </c>
      <c r="EA241" t="s">
        <v>982</v>
      </c>
      <c r="EB241">
        <v>9.3000000000000007</v>
      </c>
      <c r="EC241">
        <v>0</v>
      </c>
      <c r="ED241">
        <v>30</v>
      </c>
      <c r="EE241" s="26" t="s">
        <v>1358</v>
      </c>
      <c r="EF241" s="26"/>
      <c r="FZ241" t="s">
        <v>806</v>
      </c>
      <c r="GA241">
        <v>829</v>
      </c>
      <c r="GE241" s="26" t="s">
        <v>1358</v>
      </c>
      <c r="HA241" s="5" t="s">
        <v>1069</v>
      </c>
      <c r="HB241" s="4">
        <v>3.3766666666666669</v>
      </c>
      <c r="HC241">
        <v>0</v>
      </c>
      <c r="HD241">
        <v>30</v>
      </c>
      <c r="HE241" s="26" t="s">
        <v>1358</v>
      </c>
      <c r="HF241" s="5" t="s">
        <v>1063</v>
      </c>
      <c r="HG241" s="4">
        <v>1.4566666666666663</v>
      </c>
      <c r="HH241">
        <v>0</v>
      </c>
      <c r="HI241">
        <v>30</v>
      </c>
      <c r="HJ241" s="26" t="s">
        <v>1358</v>
      </c>
      <c r="HK241" t="s">
        <v>815</v>
      </c>
      <c r="HL241" s="34">
        <v>1.7010000000000001</v>
      </c>
      <c r="HM241">
        <v>0</v>
      </c>
      <c r="HN241">
        <v>30</v>
      </c>
      <c r="HO241" t="s">
        <v>1</v>
      </c>
      <c r="HP241" s="26" t="s">
        <v>1358</v>
      </c>
      <c r="HZ241" t="s">
        <v>1</v>
      </c>
      <c r="IA241" t="s">
        <v>1</v>
      </c>
      <c r="IB241" s="10" t="s">
        <v>1</v>
      </c>
      <c r="IC241" s="10"/>
      <c r="ID241" s="10"/>
      <c r="IE241" s="10" t="s">
        <v>1</v>
      </c>
      <c r="IF241" s="10" t="s">
        <v>1</v>
      </c>
      <c r="IG241" s="10"/>
      <c r="IH241" s="10"/>
      <c r="II241" s="10"/>
      <c r="IJ241" s="10"/>
      <c r="IK241" s="10"/>
      <c r="IL241" s="10"/>
      <c r="IM241" s="10"/>
      <c r="IN241" s="10"/>
      <c r="IO241" s="10"/>
      <c r="IP241" s="10"/>
      <c r="IQ241" s="10"/>
      <c r="IR241" s="10"/>
      <c r="IS241" t="s">
        <v>1</v>
      </c>
      <c r="IT241" t="s">
        <v>1</v>
      </c>
      <c r="IW241" t="s">
        <v>1</v>
      </c>
      <c r="IX241" t="s">
        <v>1</v>
      </c>
      <c r="IY241" t="s">
        <v>1</v>
      </c>
      <c r="IZ241" t="s">
        <v>1</v>
      </c>
      <c r="JA241" t="s">
        <v>1</v>
      </c>
      <c r="JB241" s="3" t="s">
        <v>1</v>
      </c>
      <c r="JC241" t="s">
        <v>1</v>
      </c>
      <c r="JD241" s="4" t="s">
        <v>1</v>
      </c>
      <c r="JE241" t="s">
        <v>810</v>
      </c>
      <c r="JF241">
        <v>100</v>
      </c>
      <c r="JR241" t="s">
        <v>1066</v>
      </c>
      <c r="JS241">
        <v>25.2</v>
      </c>
      <c r="JU241" t="s">
        <v>1</v>
      </c>
      <c r="JW241" t="s">
        <v>1</v>
      </c>
      <c r="JX241">
        <v>0</v>
      </c>
      <c r="JY241">
        <v>110.00000000000001</v>
      </c>
      <c r="JZ241" t="s">
        <v>796</v>
      </c>
      <c r="KA241" t="s">
        <v>198</v>
      </c>
      <c r="KB241" t="s">
        <v>738</v>
      </c>
      <c r="KC241" t="s">
        <v>1</v>
      </c>
      <c r="KD241" t="s">
        <v>1</v>
      </c>
      <c r="KE241" t="s">
        <v>1</v>
      </c>
      <c r="KF241" t="s">
        <v>1</v>
      </c>
      <c r="KG241" t="s">
        <v>1</v>
      </c>
      <c r="KH241" t="s">
        <v>1</v>
      </c>
      <c r="KI241" t="s">
        <v>1</v>
      </c>
      <c r="KJ241" t="s">
        <v>1</v>
      </c>
      <c r="KK241" t="s">
        <v>1</v>
      </c>
    </row>
    <row r="242" spans="1:297" x14ac:dyDescent="0.2">
      <c r="A242">
        <v>210</v>
      </c>
      <c r="B242" t="s">
        <v>705</v>
      </c>
      <c r="C242" t="s">
        <v>248</v>
      </c>
      <c r="D242" t="s">
        <v>242</v>
      </c>
      <c r="E242">
        <v>35</v>
      </c>
      <c r="F242" t="s">
        <v>243</v>
      </c>
      <c r="G242" t="s">
        <v>1</v>
      </c>
      <c r="H242" s="26" t="s">
        <v>1420</v>
      </c>
      <c r="I242" t="s">
        <v>1</v>
      </c>
      <c r="J242" t="s">
        <v>1</v>
      </c>
      <c r="K242" t="s">
        <v>1</v>
      </c>
      <c r="L242" t="s">
        <v>1</v>
      </c>
      <c r="M242" t="s">
        <v>1</v>
      </c>
      <c r="N242" t="s">
        <v>1</v>
      </c>
      <c r="O242" t="s">
        <v>1</v>
      </c>
      <c r="P242" t="s">
        <v>1</v>
      </c>
      <c r="Q242" t="s">
        <v>1</v>
      </c>
      <c r="R242" t="s">
        <v>1</v>
      </c>
      <c r="S242" t="s">
        <v>1</v>
      </c>
      <c r="T242" t="s">
        <v>1</v>
      </c>
      <c r="U242" t="s">
        <v>1</v>
      </c>
      <c r="V242" t="s">
        <v>1</v>
      </c>
      <c r="W242" t="s">
        <v>1</v>
      </c>
      <c r="X242" t="s">
        <v>1</v>
      </c>
      <c r="Y242" t="s">
        <v>1</v>
      </c>
      <c r="Z242" t="s">
        <v>1</v>
      </c>
      <c r="AA242" t="s">
        <v>1</v>
      </c>
      <c r="AB242" t="s">
        <v>1</v>
      </c>
      <c r="AC242" t="s">
        <v>1</v>
      </c>
      <c r="AD242" t="s">
        <v>1</v>
      </c>
      <c r="AE242" t="s">
        <v>1</v>
      </c>
      <c r="AF242" t="s">
        <v>1</v>
      </c>
      <c r="AG242" t="s">
        <v>1</v>
      </c>
      <c r="AH242" t="s">
        <v>1</v>
      </c>
      <c r="AI242" t="s">
        <v>1</v>
      </c>
      <c r="AJ242" t="s">
        <v>1</v>
      </c>
      <c r="AK242" t="s">
        <v>1</v>
      </c>
      <c r="AL242" t="s">
        <v>1</v>
      </c>
      <c r="AM242" t="s">
        <v>1</v>
      </c>
      <c r="AN242">
        <v>210</v>
      </c>
      <c r="AO242">
        <f t="shared" si="25"/>
        <v>210</v>
      </c>
      <c r="AP242">
        <f t="shared" si="26"/>
        <v>35</v>
      </c>
      <c r="AQ242">
        <f t="shared" si="27"/>
        <v>35</v>
      </c>
      <c r="AR242" s="26" t="s">
        <v>1355</v>
      </c>
      <c r="AS242" s="26" t="s">
        <v>1356</v>
      </c>
      <c r="AT242" t="s">
        <v>706</v>
      </c>
      <c r="AU242" t="s">
        <v>1</v>
      </c>
      <c r="AV242" t="s">
        <v>1</v>
      </c>
      <c r="AW242">
        <v>-17.600000000000001</v>
      </c>
      <c r="AX242">
        <v>31.14</v>
      </c>
      <c r="AY242" t="s">
        <v>737</v>
      </c>
      <c r="BA242" s="3">
        <v>4</v>
      </c>
      <c r="BB242" s="3"/>
      <c r="BC242" s="3"/>
      <c r="BD242" s="3"/>
      <c r="BE242" s="3"/>
      <c r="BF242">
        <v>2009</v>
      </c>
      <c r="BG242" s="24" t="s">
        <v>733</v>
      </c>
      <c r="BH242" s="24" t="s">
        <v>733</v>
      </c>
      <c r="BI242" s="24" t="s">
        <v>733</v>
      </c>
      <c r="BJ242" s="24" t="s">
        <v>732</v>
      </c>
      <c r="BK242" s="24" t="s">
        <v>733</v>
      </c>
      <c r="BL242" s="25" t="s">
        <v>733</v>
      </c>
      <c r="BM242" s="24" t="s">
        <v>733</v>
      </c>
      <c r="BN242" s="24" t="s">
        <v>732</v>
      </c>
      <c r="BO242" s="24" t="s">
        <v>733</v>
      </c>
      <c r="BP242" s="24" t="s">
        <v>733</v>
      </c>
      <c r="BQ242" s="24" t="s">
        <v>945</v>
      </c>
      <c r="BR242" s="24" t="s">
        <v>945</v>
      </c>
      <c r="BS242" s="25" t="s">
        <v>934</v>
      </c>
      <c r="BT242" s="24" t="s">
        <v>934</v>
      </c>
      <c r="BU242" s="24" t="s">
        <v>934</v>
      </c>
      <c r="BV242" s="24" t="s">
        <v>934</v>
      </c>
      <c r="BW242" s="24" t="s">
        <v>934</v>
      </c>
      <c r="BX242" s="24" t="s">
        <v>934</v>
      </c>
      <c r="BY242" s="25" t="s">
        <v>945</v>
      </c>
      <c r="BZ242" t="s">
        <v>5</v>
      </c>
      <c r="CB242" t="s">
        <v>1</v>
      </c>
      <c r="CC242" s="34" t="s">
        <v>1</v>
      </c>
      <c r="CD242" s="34"/>
      <c r="CE242" s="34"/>
      <c r="CF242" t="s">
        <v>1</v>
      </c>
      <c r="CG242" t="s">
        <v>1</v>
      </c>
      <c r="CH242" t="s">
        <v>805</v>
      </c>
      <c r="CI242" s="28">
        <v>1.6</v>
      </c>
      <c r="CJ242" s="10" t="s">
        <v>1442</v>
      </c>
      <c r="CK242" s="9" t="s">
        <v>1</v>
      </c>
      <c r="CL242" s="34" t="s">
        <v>1</v>
      </c>
      <c r="CM242" t="s">
        <v>847</v>
      </c>
      <c r="CN242" s="4">
        <f>AVERAGE(42.3,12.1,31)</f>
        <v>28.466666666666669</v>
      </c>
      <c r="CO242" s="4" t="s">
        <v>1</v>
      </c>
      <c r="CP242" s="4" t="s">
        <v>1</v>
      </c>
      <c r="CQ242" s="4" t="s">
        <v>1</v>
      </c>
      <c r="CR242" s="4" t="s">
        <v>1</v>
      </c>
      <c r="CS242" s="4" t="s">
        <v>1</v>
      </c>
      <c r="CT242" s="4" t="s">
        <v>1</v>
      </c>
      <c r="CU242" s="4" t="s">
        <v>1</v>
      </c>
      <c r="CV242" s="37" t="s">
        <v>855</v>
      </c>
      <c r="CW242">
        <v>100</v>
      </c>
      <c r="CX242">
        <v>0</v>
      </c>
      <c r="CY242">
        <v>30</v>
      </c>
      <c r="CZ242" s="26" t="s">
        <v>1358</v>
      </c>
      <c r="DA242" t="s">
        <v>734</v>
      </c>
      <c r="DB242">
        <v>78.5</v>
      </c>
      <c r="DC242">
        <v>0</v>
      </c>
      <c r="DD242">
        <v>30</v>
      </c>
      <c r="DE242" s="26" t="s">
        <v>1358</v>
      </c>
      <c r="DF242" t="s">
        <v>735</v>
      </c>
      <c r="DG242">
        <v>5.6</v>
      </c>
      <c r="DH242">
        <v>0</v>
      </c>
      <c r="DI242">
        <v>30</v>
      </c>
      <c r="DJ242" s="26" t="s">
        <v>1358</v>
      </c>
      <c r="DK242" t="s">
        <v>736</v>
      </c>
      <c r="DL242">
        <v>15.9</v>
      </c>
      <c r="DM242">
        <v>0</v>
      </c>
      <c r="DN242">
        <v>30</v>
      </c>
      <c r="DO242" s="26" t="s">
        <v>1358</v>
      </c>
      <c r="DP242" t="s">
        <v>6</v>
      </c>
      <c r="DQ242" t="s">
        <v>1</v>
      </c>
      <c r="DR242">
        <v>5.6</v>
      </c>
      <c r="DS242">
        <v>0</v>
      </c>
      <c r="DT242">
        <v>30</v>
      </c>
      <c r="DU242" s="26" t="s">
        <v>1358</v>
      </c>
      <c r="EA242" t="s">
        <v>982</v>
      </c>
      <c r="EB242">
        <v>9.3000000000000007</v>
      </c>
      <c r="EC242">
        <v>0</v>
      </c>
      <c r="ED242">
        <v>30</v>
      </c>
      <c r="EE242" s="26" t="s">
        <v>1358</v>
      </c>
      <c r="EF242" s="26"/>
      <c r="FZ242" t="s">
        <v>806</v>
      </c>
      <c r="GA242">
        <v>829</v>
      </c>
      <c r="GE242" s="26" t="s">
        <v>1358</v>
      </c>
      <c r="HA242" s="5" t="s">
        <v>1069</v>
      </c>
      <c r="HB242" s="4">
        <v>3.3766666666666669</v>
      </c>
      <c r="HC242">
        <v>0</v>
      </c>
      <c r="HD242">
        <v>30</v>
      </c>
      <c r="HE242" s="26" t="s">
        <v>1358</v>
      </c>
      <c r="HF242" s="5" t="s">
        <v>1063</v>
      </c>
      <c r="HG242" s="4">
        <v>1.4566666666666663</v>
      </c>
      <c r="HH242">
        <v>0</v>
      </c>
      <c r="HI242">
        <v>30</v>
      </c>
      <c r="HJ242" s="26" t="s">
        <v>1358</v>
      </c>
      <c r="HK242" t="s">
        <v>815</v>
      </c>
      <c r="HL242" s="34">
        <v>1.7010000000000001</v>
      </c>
      <c r="HM242">
        <v>0</v>
      </c>
      <c r="HN242">
        <v>30</v>
      </c>
      <c r="HO242" t="s">
        <v>1</v>
      </c>
      <c r="HP242" s="26" t="s">
        <v>1358</v>
      </c>
      <c r="HZ242" t="s">
        <v>966</v>
      </c>
      <c r="IA242">
        <v>60</v>
      </c>
      <c r="IB242" s="5" t="s">
        <v>1</v>
      </c>
      <c r="IC242" s="5"/>
      <c r="ID242" s="5"/>
      <c r="IE242" s="10" t="s">
        <v>1</v>
      </c>
      <c r="IF242" s="10" t="s">
        <v>1</v>
      </c>
      <c r="IG242" s="10"/>
      <c r="IH242" s="10"/>
      <c r="II242" s="10"/>
      <c r="IJ242" s="10"/>
      <c r="IK242" s="10"/>
      <c r="IL242" s="10"/>
      <c r="IM242" s="10"/>
      <c r="IN242" s="10"/>
      <c r="IO242" s="10"/>
      <c r="IP242" s="10"/>
      <c r="IQ242" s="10"/>
      <c r="IR242" s="10"/>
      <c r="IS242" t="s">
        <v>1</v>
      </c>
      <c r="IT242" t="s">
        <v>1</v>
      </c>
      <c r="IW242" t="s">
        <v>1</v>
      </c>
      <c r="IX242" t="s">
        <v>1</v>
      </c>
      <c r="IY242" t="s">
        <v>1</v>
      </c>
      <c r="IZ242" t="s">
        <v>1</v>
      </c>
      <c r="JA242" t="s">
        <v>1</v>
      </c>
      <c r="JB242" s="3" t="s">
        <v>1</v>
      </c>
      <c r="JC242" t="s">
        <v>1</v>
      </c>
      <c r="JD242" s="4" t="s">
        <v>1</v>
      </c>
      <c r="JE242" t="s">
        <v>810</v>
      </c>
      <c r="JF242">
        <v>100</v>
      </c>
      <c r="JR242" t="s">
        <v>1066</v>
      </c>
      <c r="JS242">
        <v>45.2</v>
      </c>
      <c r="JU242" t="s">
        <v>1</v>
      </c>
      <c r="JW242" t="s">
        <v>1</v>
      </c>
      <c r="JX242">
        <v>0</v>
      </c>
      <c r="JY242">
        <v>110.00000000000001</v>
      </c>
      <c r="JZ242" t="s">
        <v>796</v>
      </c>
      <c r="KA242" t="s">
        <v>198</v>
      </c>
      <c r="KB242" t="s">
        <v>738</v>
      </c>
      <c r="KC242" t="s">
        <v>1</v>
      </c>
      <c r="KD242" t="s">
        <v>1</v>
      </c>
      <c r="KE242" t="s">
        <v>1</v>
      </c>
      <c r="KF242" t="s">
        <v>1</v>
      </c>
      <c r="KG242" t="s">
        <v>1</v>
      </c>
      <c r="KH242" t="s">
        <v>1</v>
      </c>
      <c r="KI242" t="s">
        <v>1</v>
      </c>
      <c r="KJ242" t="s">
        <v>1</v>
      </c>
      <c r="KK242" t="s">
        <v>1</v>
      </c>
    </row>
    <row r="243" spans="1:297" x14ac:dyDescent="0.2">
      <c r="A243">
        <v>211</v>
      </c>
      <c r="B243" t="s">
        <v>705</v>
      </c>
      <c r="C243" t="s">
        <v>249</v>
      </c>
      <c r="D243" t="s">
        <v>242</v>
      </c>
      <c r="E243">
        <v>35</v>
      </c>
      <c r="F243" t="s">
        <v>243</v>
      </c>
      <c r="G243" t="s">
        <v>1</v>
      </c>
      <c r="H243" s="26" t="s">
        <v>1420</v>
      </c>
      <c r="I243" t="s">
        <v>1</v>
      </c>
      <c r="J243" t="s">
        <v>1</v>
      </c>
      <c r="K243" t="s">
        <v>1</v>
      </c>
      <c r="L243" t="s">
        <v>1</v>
      </c>
      <c r="M243" t="s">
        <v>1</v>
      </c>
      <c r="N243" t="s">
        <v>1</v>
      </c>
      <c r="O243" t="s">
        <v>1</v>
      </c>
      <c r="P243" t="s">
        <v>1</v>
      </c>
      <c r="Q243" t="s">
        <v>1</v>
      </c>
      <c r="R243" t="s">
        <v>1</v>
      </c>
      <c r="S243" t="s">
        <v>1</v>
      </c>
      <c r="T243" t="s">
        <v>1</v>
      </c>
      <c r="U243" t="s">
        <v>1</v>
      </c>
      <c r="V243" t="s">
        <v>1</v>
      </c>
      <c r="W243" t="s">
        <v>1</v>
      </c>
      <c r="X243" t="s">
        <v>1</v>
      </c>
      <c r="Y243" t="s">
        <v>1</v>
      </c>
      <c r="Z243" t="s">
        <v>1</v>
      </c>
      <c r="AA243" t="s">
        <v>1</v>
      </c>
      <c r="AB243" t="s">
        <v>1</v>
      </c>
      <c r="AC243" t="s">
        <v>1</v>
      </c>
      <c r="AD243" t="s">
        <v>1</v>
      </c>
      <c r="AE243" t="s">
        <v>1</v>
      </c>
      <c r="AF243" t="s">
        <v>1</v>
      </c>
      <c r="AG243" t="s">
        <v>1</v>
      </c>
      <c r="AH243" t="s">
        <v>1</v>
      </c>
      <c r="AI243" t="s">
        <v>1</v>
      </c>
      <c r="AJ243" t="s">
        <v>1</v>
      </c>
      <c r="AK243" t="s">
        <v>1</v>
      </c>
      <c r="AL243" t="s">
        <v>1</v>
      </c>
      <c r="AM243" t="s">
        <v>1</v>
      </c>
      <c r="AN243">
        <v>211</v>
      </c>
      <c r="AO243">
        <f t="shared" si="25"/>
        <v>211</v>
      </c>
      <c r="AP243">
        <f t="shared" si="26"/>
        <v>35</v>
      </c>
      <c r="AQ243">
        <f t="shared" si="27"/>
        <v>35</v>
      </c>
      <c r="AR243" s="26" t="s">
        <v>1355</v>
      </c>
      <c r="AS243" s="26" t="s">
        <v>1356</v>
      </c>
      <c r="AT243" t="s">
        <v>706</v>
      </c>
      <c r="AU243" t="s">
        <v>1</v>
      </c>
      <c r="AV243" t="s">
        <v>1</v>
      </c>
      <c r="AW243">
        <v>-17.600000000000001</v>
      </c>
      <c r="AX243">
        <v>31.14</v>
      </c>
      <c r="AY243" t="s">
        <v>737</v>
      </c>
      <c r="BA243" s="3">
        <v>4</v>
      </c>
      <c r="BB243" s="3"/>
      <c r="BC243" s="3"/>
      <c r="BD243" s="3"/>
      <c r="BE243" s="3"/>
      <c r="BF243">
        <v>2009</v>
      </c>
      <c r="BG243" s="24" t="s">
        <v>733</v>
      </c>
      <c r="BH243" s="24" t="s">
        <v>733</v>
      </c>
      <c r="BI243" s="24" t="s">
        <v>733</v>
      </c>
      <c r="BJ243" s="24" t="s">
        <v>732</v>
      </c>
      <c r="BK243" s="24" t="s">
        <v>733</v>
      </c>
      <c r="BL243" s="25" t="s">
        <v>733</v>
      </c>
      <c r="BM243" s="24" t="s">
        <v>733</v>
      </c>
      <c r="BN243" s="24" t="s">
        <v>732</v>
      </c>
      <c r="BO243" s="24" t="s">
        <v>733</v>
      </c>
      <c r="BP243" s="24" t="s">
        <v>733</v>
      </c>
      <c r="BQ243" s="24" t="s">
        <v>945</v>
      </c>
      <c r="BR243" s="24" t="s">
        <v>945</v>
      </c>
      <c r="BS243" s="25" t="s">
        <v>934</v>
      </c>
      <c r="BT243" s="24" t="s">
        <v>934</v>
      </c>
      <c r="BU243" s="24" t="s">
        <v>934</v>
      </c>
      <c r="BV243" s="24" t="s">
        <v>934</v>
      </c>
      <c r="BW243" s="24" t="s">
        <v>934</v>
      </c>
      <c r="BX243" s="24" t="s">
        <v>934</v>
      </c>
      <c r="BY243" s="25" t="s">
        <v>945</v>
      </c>
      <c r="BZ243" t="s">
        <v>5</v>
      </c>
      <c r="CB243" t="s">
        <v>1</v>
      </c>
      <c r="CC243" s="34" t="s">
        <v>1</v>
      </c>
      <c r="CD243" s="34"/>
      <c r="CE243" s="34"/>
      <c r="CF243" t="s">
        <v>1</v>
      </c>
      <c r="CG243" t="s">
        <v>1</v>
      </c>
      <c r="CH243" t="s">
        <v>805</v>
      </c>
      <c r="CI243" s="28">
        <v>1.6</v>
      </c>
      <c r="CJ243" s="10" t="s">
        <v>1442</v>
      </c>
      <c r="CK243" s="9" t="s">
        <v>1</v>
      </c>
      <c r="CL243" s="34" t="s">
        <v>1</v>
      </c>
      <c r="CM243" t="s">
        <v>847</v>
      </c>
      <c r="CN243" s="4">
        <f>AVERAGE(45.3,17.2,63.7)</f>
        <v>42.06666666666667</v>
      </c>
      <c r="CO243" s="4" t="s">
        <v>1</v>
      </c>
      <c r="CP243" s="4" t="s">
        <v>1</v>
      </c>
      <c r="CQ243" s="4" t="s">
        <v>1</v>
      </c>
      <c r="CR243" s="4" t="s">
        <v>1</v>
      </c>
      <c r="CS243" s="4" t="s">
        <v>1</v>
      </c>
      <c r="CT243" s="4" t="s">
        <v>1</v>
      </c>
      <c r="CU243" s="4" t="s">
        <v>1</v>
      </c>
      <c r="CV243" s="37" t="s">
        <v>855</v>
      </c>
      <c r="CW243">
        <v>100</v>
      </c>
      <c r="CX243">
        <v>0</v>
      </c>
      <c r="CY243">
        <v>30</v>
      </c>
      <c r="CZ243" s="26" t="s">
        <v>1358</v>
      </c>
      <c r="DA243" t="s">
        <v>734</v>
      </c>
      <c r="DB243">
        <v>78.5</v>
      </c>
      <c r="DC243">
        <v>0</v>
      </c>
      <c r="DD243">
        <v>30</v>
      </c>
      <c r="DE243" s="26" t="s">
        <v>1358</v>
      </c>
      <c r="DF243" t="s">
        <v>735</v>
      </c>
      <c r="DG243">
        <v>5.6</v>
      </c>
      <c r="DH243">
        <v>0</v>
      </c>
      <c r="DI243">
        <v>30</v>
      </c>
      <c r="DJ243" s="26" t="s">
        <v>1358</v>
      </c>
      <c r="DK243" t="s">
        <v>736</v>
      </c>
      <c r="DL243">
        <v>15.9</v>
      </c>
      <c r="DM243">
        <v>0</v>
      </c>
      <c r="DN243">
        <v>30</v>
      </c>
      <c r="DO243" s="26" t="s">
        <v>1358</v>
      </c>
      <c r="DP243" t="s">
        <v>6</v>
      </c>
      <c r="DQ243" t="s">
        <v>1</v>
      </c>
      <c r="DR243">
        <v>5.6</v>
      </c>
      <c r="DS243">
        <v>0</v>
      </c>
      <c r="DT243">
        <v>30</v>
      </c>
      <c r="DU243" s="26" t="s">
        <v>1358</v>
      </c>
      <c r="EA243" t="s">
        <v>982</v>
      </c>
      <c r="EB243">
        <v>9.3000000000000007</v>
      </c>
      <c r="EC243">
        <v>0</v>
      </c>
      <c r="ED243">
        <v>30</v>
      </c>
      <c r="EE243" s="26" t="s">
        <v>1358</v>
      </c>
      <c r="EF243" s="26"/>
      <c r="FZ243" t="s">
        <v>806</v>
      </c>
      <c r="GA243">
        <v>829</v>
      </c>
      <c r="GE243" s="26" t="s">
        <v>1358</v>
      </c>
      <c r="HA243" s="5" t="s">
        <v>1069</v>
      </c>
      <c r="HB243" s="4">
        <v>3.3766666666666669</v>
      </c>
      <c r="HC243">
        <v>0</v>
      </c>
      <c r="HD243">
        <v>30</v>
      </c>
      <c r="HE243" s="26" t="s">
        <v>1358</v>
      </c>
      <c r="HF243" s="5" t="s">
        <v>1063</v>
      </c>
      <c r="HG243" s="4">
        <v>1.4566666666666663</v>
      </c>
      <c r="HH243">
        <v>0</v>
      </c>
      <c r="HI243">
        <v>30</v>
      </c>
      <c r="HJ243" s="26" t="s">
        <v>1358</v>
      </c>
      <c r="HK243" t="s">
        <v>815</v>
      </c>
      <c r="HL243" s="34">
        <v>1.7010000000000001</v>
      </c>
      <c r="HM243">
        <v>0</v>
      </c>
      <c r="HN243">
        <v>30</v>
      </c>
      <c r="HO243" t="s">
        <v>1</v>
      </c>
      <c r="HP243" s="26" t="s">
        <v>1358</v>
      </c>
      <c r="HZ243" t="s">
        <v>966</v>
      </c>
      <c r="IA243">
        <v>120</v>
      </c>
      <c r="IB243" s="5" t="s">
        <v>1</v>
      </c>
      <c r="IC243" s="5"/>
      <c r="ID243" s="5"/>
      <c r="IE243" s="10" t="s">
        <v>1</v>
      </c>
      <c r="IF243" s="10" t="s">
        <v>1</v>
      </c>
      <c r="IG243" s="10"/>
      <c r="IH243" s="10"/>
      <c r="II243" s="10"/>
      <c r="IJ243" s="10"/>
      <c r="IK243" s="10"/>
      <c r="IL243" s="10"/>
      <c r="IM243" s="10"/>
      <c r="IN243" s="10"/>
      <c r="IO243" s="10"/>
      <c r="IP243" s="10"/>
      <c r="IQ243" s="10"/>
      <c r="IR243" s="10"/>
      <c r="IS243" t="s">
        <v>1</v>
      </c>
      <c r="IT243" t="s">
        <v>1</v>
      </c>
      <c r="IW243" t="s">
        <v>1</v>
      </c>
      <c r="IX243" t="s">
        <v>1</v>
      </c>
      <c r="IY243" t="s">
        <v>1</v>
      </c>
      <c r="IZ243" t="s">
        <v>1</v>
      </c>
      <c r="JA243" t="s">
        <v>1</v>
      </c>
      <c r="JB243" s="3" t="s">
        <v>1</v>
      </c>
      <c r="JC243" t="s">
        <v>1</v>
      </c>
      <c r="JD243" s="4" t="s">
        <v>1</v>
      </c>
      <c r="JE243" t="s">
        <v>810</v>
      </c>
      <c r="JF243">
        <v>100</v>
      </c>
      <c r="JR243" t="s">
        <v>1066</v>
      </c>
      <c r="JS243">
        <v>72.599999999999994</v>
      </c>
      <c r="JU243" t="s">
        <v>1</v>
      </c>
      <c r="JW243" t="s">
        <v>1</v>
      </c>
      <c r="JX243">
        <v>0</v>
      </c>
      <c r="JY243">
        <v>110.00000000000001</v>
      </c>
      <c r="JZ243" t="s">
        <v>796</v>
      </c>
      <c r="KA243" t="s">
        <v>198</v>
      </c>
      <c r="KB243" t="s">
        <v>738</v>
      </c>
      <c r="KC243" t="s">
        <v>1</v>
      </c>
      <c r="KD243" t="s">
        <v>1</v>
      </c>
      <c r="KE243" t="s">
        <v>1</v>
      </c>
      <c r="KF243" t="s">
        <v>1</v>
      </c>
      <c r="KG243" t="s">
        <v>1</v>
      </c>
      <c r="KH243" t="s">
        <v>1</v>
      </c>
      <c r="KI243" t="s">
        <v>1</v>
      </c>
      <c r="KJ243" t="s">
        <v>1</v>
      </c>
      <c r="KK243" t="s">
        <v>1</v>
      </c>
    </row>
    <row r="244" spans="1:297" x14ac:dyDescent="0.2">
      <c r="A244">
        <v>212</v>
      </c>
      <c r="B244" t="s">
        <v>705</v>
      </c>
      <c r="C244" t="s">
        <v>252</v>
      </c>
      <c r="D244" t="s">
        <v>250</v>
      </c>
      <c r="E244">
        <v>36</v>
      </c>
      <c r="F244" t="s">
        <v>251</v>
      </c>
      <c r="G244" t="s">
        <v>250</v>
      </c>
      <c r="H244" s="26" t="s">
        <v>1420</v>
      </c>
      <c r="I244" t="s">
        <v>774</v>
      </c>
      <c r="J244">
        <v>1942</v>
      </c>
      <c r="K244">
        <v>446</v>
      </c>
      <c r="L244" t="s">
        <v>1</v>
      </c>
      <c r="M244" t="s">
        <v>1</v>
      </c>
      <c r="N244" t="s">
        <v>1</v>
      </c>
      <c r="O244" t="s">
        <v>1</v>
      </c>
      <c r="P244">
        <v>12</v>
      </c>
      <c r="Q244" t="s">
        <v>775</v>
      </c>
      <c r="R244" t="s">
        <v>776</v>
      </c>
      <c r="S244" t="b">
        <v>0</v>
      </c>
      <c r="T244">
        <v>13</v>
      </c>
      <c r="U244" t="s">
        <v>777</v>
      </c>
      <c r="V244" t="s">
        <v>778</v>
      </c>
      <c r="W244" t="b">
        <v>0</v>
      </c>
      <c r="X244">
        <v>14</v>
      </c>
      <c r="Y244" t="s">
        <v>779</v>
      </c>
      <c r="Z244" t="s">
        <v>780</v>
      </c>
      <c r="AA244" t="b">
        <v>0</v>
      </c>
      <c r="AB244" t="s">
        <v>1</v>
      </c>
      <c r="AC244" t="s">
        <v>1</v>
      </c>
      <c r="AD244" t="s">
        <v>1</v>
      </c>
      <c r="AE244" t="s">
        <v>1</v>
      </c>
      <c r="AF244" t="s">
        <v>1</v>
      </c>
      <c r="AG244" t="s">
        <v>1</v>
      </c>
      <c r="AH244" t="s">
        <v>1</v>
      </c>
      <c r="AI244" t="s">
        <v>1</v>
      </c>
      <c r="AJ244" t="s">
        <v>1</v>
      </c>
      <c r="AK244" t="s">
        <v>1</v>
      </c>
      <c r="AL244" t="s">
        <v>1</v>
      </c>
      <c r="AM244" t="s">
        <v>1</v>
      </c>
      <c r="AN244">
        <v>212</v>
      </c>
      <c r="AO244">
        <f t="shared" si="25"/>
        <v>212</v>
      </c>
      <c r="AP244">
        <f t="shared" si="26"/>
        <v>36</v>
      </c>
      <c r="AQ244">
        <f t="shared" si="27"/>
        <v>36</v>
      </c>
      <c r="AR244" s="26" t="s">
        <v>1355</v>
      </c>
      <c r="AS244" s="26" t="s">
        <v>1356</v>
      </c>
      <c r="AT244" t="s">
        <v>713</v>
      </c>
      <c r="AU244" t="s">
        <v>1</v>
      </c>
      <c r="AV244" t="s">
        <v>1</v>
      </c>
      <c r="AW244">
        <v>41.86</v>
      </c>
      <c r="AX244">
        <v>-72.66</v>
      </c>
      <c r="AY244" t="s">
        <v>737</v>
      </c>
      <c r="BA244" s="3">
        <v>2</v>
      </c>
      <c r="BB244" s="3"/>
      <c r="BC244" s="3"/>
      <c r="BD244" s="3"/>
      <c r="BE244" s="3"/>
      <c r="BF244">
        <v>1941</v>
      </c>
      <c r="BG244" s="24" t="s">
        <v>733</v>
      </c>
      <c r="BH244" s="24" t="s">
        <v>733</v>
      </c>
      <c r="BI244" s="24" t="s">
        <v>733</v>
      </c>
      <c r="BJ244" s="24" t="s">
        <v>732</v>
      </c>
      <c r="BK244" s="24" t="s">
        <v>733</v>
      </c>
      <c r="BL244" s="25" t="s">
        <v>733</v>
      </c>
      <c r="BM244" s="24" t="s">
        <v>733</v>
      </c>
      <c r="BN244" s="24" t="s">
        <v>732</v>
      </c>
      <c r="BO244" s="24" t="s">
        <v>733</v>
      </c>
      <c r="BP244" s="24" t="s">
        <v>733</v>
      </c>
      <c r="BQ244" s="24" t="s">
        <v>945</v>
      </c>
      <c r="BR244" s="24" t="s">
        <v>945</v>
      </c>
      <c r="BS244" s="25" t="s">
        <v>934</v>
      </c>
      <c r="BT244" s="24" t="s">
        <v>934</v>
      </c>
      <c r="BU244" s="24" t="s">
        <v>934</v>
      </c>
      <c r="BV244" s="24" t="s">
        <v>934</v>
      </c>
      <c r="BW244" s="24" t="s">
        <v>934</v>
      </c>
      <c r="BX244" s="24" t="s">
        <v>934</v>
      </c>
      <c r="BY244" s="25" t="s">
        <v>945</v>
      </c>
      <c r="BZ244" t="s">
        <v>1415</v>
      </c>
      <c r="CB244" t="s">
        <v>1416</v>
      </c>
      <c r="CC244" s="4">
        <f>16100*1.12085/10</f>
        <v>1804.5684999999999</v>
      </c>
      <c r="CD244" s="4"/>
      <c r="CE244" s="4"/>
      <c r="CF244" t="s">
        <v>793</v>
      </c>
      <c r="CG244">
        <v>100</v>
      </c>
      <c r="CH244" t="s">
        <v>805</v>
      </c>
      <c r="CI244" s="28">
        <v>0.8</v>
      </c>
      <c r="CJ244" s="10" t="s">
        <v>1442</v>
      </c>
      <c r="CK244" s="9" t="s">
        <v>1</v>
      </c>
      <c r="CL244" s="4" t="s">
        <v>1</v>
      </c>
      <c r="CM244" t="s">
        <v>847</v>
      </c>
      <c r="CN244" s="4">
        <f>20.7*1.12085</f>
        <v>23.201594999999998</v>
      </c>
      <c r="CO244" s="4" t="s">
        <v>1</v>
      </c>
      <c r="CP244" s="4" t="s">
        <v>1</v>
      </c>
      <c r="CQ244" s="4" t="s">
        <v>1</v>
      </c>
      <c r="CR244" s="4" t="s">
        <v>1</v>
      </c>
      <c r="CS244" s="4" t="s">
        <v>1</v>
      </c>
      <c r="CT244" s="4" t="s">
        <v>1</v>
      </c>
      <c r="CU244" s="4" t="s">
        <v>1</v>
      </c>
      <c r="CV244" t="s">
        <v>855</v>
      </c>
      <c r="CW244">
        <v>100</v>
      </c>
      <c r="CX244">
        <v>0</v>
      </c>
      <c r="CY244">
        <v>30</v>
      </c>
      <c r="CZ244" s="26" t="s">
        <v>1358</v>
      </c>
      <c r="DA244" t="s">
        <v>734</v>
      </c>
      <c r="DB244">
        <v>76.2</v>
      </c>
      <c r="DC244">
        <v>0</v>
      </c>
      <c r="DD244">
        <v>30</v>
      </c>
      <c r="DE244" s="26" t="s">
        <v>1358</v>
      </c>
      <c r="DF244" t="s">
        <v>735</v>
      </c>
      <c r="DG244">
        <v>19.399999999999999</v>
      </c>
      <c r="DH244">
        <v>0</v>
      </c>
      <c r="DI244">
        <v>30</v>
      </c>
      <c r="DJ244" s="26" t="s">
        <v>1358</v>
      </c>
      <c r="DK244" t="s">
        <v>736</v>
      </c>
      <c r="DL244">
        <v>4.4000000000000004</v>
      </c>
      <c r="DM244">
        <v>0</v>
      </c>
      <c r="DN244">
        <v>30</v>
      </c>
      <c r="DO244" s="26" t="s">
        <v>1358</v>
      </c>
      <c r="DP244" t="s">
        <v>6</v>
      </c>
      <c r="DQ244" t="s">
        <v>1</v>
      </c>
      <c r="DR244">
        <v>6</v>
      </c>
      <c r="DS244">
        <v>0</v>
      </c>
      <c r="DT244">
        <v>30</v>
      </c>
      <c r="DU244" s="26" t="s">
        <v>1358</v>
      </c>
      <c r="EA244" t="s">
        <v>982</v>
      </c>
      <c r="EB244">
        <v>3.5</v>
      </c>
      <c r="EC244">
        <v>0</v>
      </c>
      <c r="ED244">
        <v>30</v>
      </c>
      <c r="EE244" s="26" t="s">
        <v>1358</v>
      </c>
      <c r="EF244" s="26"/>
      <c r="FZ244" t="s">
        <v>806</v>
      </c>
      <c r="GA244">
        <v>1054.5826</v>
      </c>
      <c r="GE244" s="26" t="s">
        <v>1358</v>
      </c>
      <c r="HA244" s="5" t="s">
        <v>1</v>
      </c>
      <c r="HB244" s="4" t="s">
        <v>1</v>
      </c>
      <c r="HC244" t="s">
        <v>1</v>
      </c>
      <c r="HD244" t="s">
        <v>1</v>
      </c>
      <c r="HE244" t="s">
        <v>1</v>
      </c>
      <c r="HF244" s="5" t="s">
        <v>1063</v>
      </c>
      <c r="HG244" s="4">
        <v>0.19331893333333333</v>
      </c>
      <c r="HH244">
        <v>0</v>
      </c>
      <c r="HI244">
        <v>30</v>
      </c>
      <c r="HJ244" s="26" t="s">
        <v>1358</v>
      </c>
      <c r="HK244" t="s">
        <v>1</v>
      </c>
      <c r="HL244" t="s">
        <v>1</v>
      </c>
      <c r="HM244" t="s">
        <v>1</v>
      </c>
      <c r="HN244" t="s">
        <v>1</v>
      </c>
      <c r="HO244" t="s">
        <v>1</v>
      </c>
      <c r="HP244" t="s">
        <v>1</v>
      </c>
      <c r="HZ244" t="s">
        <v>1</v>
      </c>
      <c r="IA244" t="s">
        <v>1</v>
      </c>
      <c r="IB244" s="10" t="s">
        <v>1</v>
      </c>
      <c r="IC244" s="10"/>
      <c r="ID244" s="10"/>
      <c r="IE244" s="10" t="s">
        <v>1</v>
      </c>
      <c r="IF244" s="10" t="s">
        <v>1</v>
      </c>
      <c r="IG244" s="10"/>
      <c r="IH244" s="10"/>
      <c r="II244" s="10"/>
      <c r="IJ244" s="10"/>
      <c r="IK244" s="10"/>
      <c r="IL244" s="10"/>
      <c r="IM244" s="10"/>
      <c r="IN244" s="10"/>
      <c r="IO244" s="10"/>
      <c r="IP244" s="10"/>
      <c r="IQ244" s="10"/>
      <c r="IR244" s="10"/>
      <c r="IS244" t="s">
        <v>1</v>
      </c>
      <c r="IT244" t="s">
        <v>1</v>
      </c>
      <c r="IW244" t="s">
        <v>1</v>
      </c>
      <c r="IX244" t="s">
        <v>1</v>
      </c>
      <c r="IY244" t="s">
        <v>808</v>
      </c>
      <c r="IZ244">
        <v>33.274000000000001</v>
      </c>
      <c r="JA244" t="s">
        <v>1065</v>
      </c>
      <c r="JB244" s="4">
        <f t="shared" ref="JB244:JB251" si="35">40/10*Lbacre_kgha</f>
        <v>4.4833999999999996</v>
      </c>
      <c r="JC244" t="s">
        <v>1</v>
      </c>
      <c r="JD244" s="4" t="s">
        <v>1</v>
      </c>
      <c r="JE244" t="s">
        <v>1</v>
      </c>
      <c r="JF244" t="s">
        <v>1</v>
      </c>
      <c r="JR244" t="s">
        <v>1066</v>
      </c>
      <c r="JS244">
        <v>132.5</v>
      </c>
      <c r="JU244" t="s">
        <v>1</v>
      </c>
      <c r="JW244" t="s">
        <v>1</v>
      </c>
      <c r="JX244">
        <v>0</v>
      </c>
      <c r="JY244">
        <v>71.11999999999999</v>
      </c>
      <c r="JZ244" t="s">
        <v>796</v>
      </c>
      <c r="KA244" t="s">
        <v>198</v>
      </c>
      <c r="KB244" t="s">
        <v>738</v>
      </c>
      <c r="KC244" t="s">
        <v>1067</v>
      </c>
      <c r="KD244" s="1">
        <v>0.44833999999999996</v>
      </c>
      <c r="KE244" s="11" t="s">
        <v>1</v>
      </c>
      <c r="KF244" s="11" t="s">
        <v>1</v>
      </c>
      <c r="KG244">
        <v>0</v>
      </c>
      <c r="KH244">
        <v>71.11999999999999</v>
      </c>
      <c r="KI244" t="s">
        <v>796</v>
      </c>
      <c r="KJ244" t="s">
        <v>198</v>
      </c>
      <c r="KK244" t="s">
        <v>738</v>
      </c>
    </row>
    <row r="245" spans="1:297" x14ac:dyDescent="0.2">
      <c r="A245">
        <v>213</v>
      </c>
      <c r="B245" t="s">
        <v>705</v>
      </c>
      <c r="C245" t="s">
        <v>253</v>
      </c>
      <c r="D245" t="s">
        <v>250</v>
      </c>
      <c r="E245">
        <v>36</v>
      </c>
      <c r="F245" t="s">
        <v>251</v>
      </c>
      <c r="G245" t="s">
        <v>250</v>
      </c>
      <c r="H245" s="26" t="s">
        <v>1420</v>
      </c>
      <c r="I245" t="s">
        <v>774</v>
      </c>
      <c r="J245">
        <v>1942</v>
      </c>
      <c r="K245">
        <v>446</v>
      </c>
      <c r="L245" t="s">
        <v>1</v>
      </c>
      <c r="M245" t="s">
        <v>1</v>
      </c>
      <c r="N245" t="s">
        <v>1</v>
      </c>
      <c r="O245" t="s">
        <v>1</v>
      </c>
      <c r="P245">
        <v>12</v>
      </c>
      <c r="Q245" t="s">
        <v>775</v>
      </c>
      <c r="R245" t="s">
        <v>776</v>
      </c>
      <c r="S245" t="b">
        <v>0</v>
      </c>
      <c r="T245">
        <v>13</v>
      </c>
      <c r="U245" t="s">
        <v>777</v>
      </c>
      <c r="V245" t="s">
        <v>778</v>
      </c>
      <c r="W245" t="b">
        <v>0</v>
      </c>
      <c r="X245">
        <v>14</v>
      </c>
      <c r="Y245" t="s">
        <v>779</v>
      </c>
      <c r="Z245" t="s">
        <v>780</v>
      </c>
      <c r="AA245" t="b">
        <v>0</v>
      </c>
      <c r="AB245" t="s">
        <v>1</v>
      </c>
      <c r="AC245" t="s">
        <v>1</v>
      </c>
      <c r="AD245" t="s">
        <v>1</v>
      </c>
      <c r="AE245" t="s">
        <v>1</v>
      </c>
      <c r="AF245" t="s">
        <v>1</v>
      </c>
      <c r="AG245" t="s">
        <v>1</v>
      </c>
      <c r="AH245" t="s">
        <v>1</v>
      </c>
      <c r="AI245" t="s">
        <v>1</v>
      </c>
      <c r="AJ245" t="s">
        <v>1</v>
      </c>
      <c r="AK245" t="s">
        <v>1</v>
      </c>
      <c r="AL245" t="s">
        <v>1</v>
      </c>
      <c r="AM245" t="s">
        <v>1</v>
      </c>
      <c r="AN245">
        <v>213</v>
      </c>
      <c r="AO245">
        <f t="shared" si="25"/>
        <v>213</v>
      </c>
      <c r="AP245">
        <f t="shared" si="26"/>
        <v>36</v>
      </c>
      <c r="AQ245">
        <f t="shared" si="27"/>
        <v>36</v>
      </c>
      <c r="AR245" s="26" t="s">
        <v>1355</v>
      </c>
      <c r="AS245" s="26" t="s">
        <v>1356</v>
      </c>
      <c r="AT245" t="s">
        <v>713</v>
      </c>
      <c r="AU245" t="s">
        <v>1</v>
      </c>
      <c r="AV245" t="s">
        <v>1</v>
      </c>
      <c r="AW245">
        <v>41.86</v>
      </c>
      <c r="AX245">
        <v>-72.66</v>
      </c>
      <c r="AY245" t="s">
        <v>737</v>
      </c>
      <c r="BA245" s="3">
        <v>2</v>
      </c>
      <c r="BB245" s="3"/>
      <c r="BC245" s="3"/>
      <c r="BD245" s="3"/>
      <c r="BE245" s="3"/>
      <c r="BF245">
        <v>1941</v>
      </c>
      <c r="BG245" s="24" t="s">
        <v>733</v>
      </c>
      <c r="BH245" s="24" t="s">
        <v>733</v>
      </c>
      <c r="BI245" s="24" t="s">
        <v>733</v>
      </c>
      <c r="BJ245" s="24" t="s">
        <v>732</v>
      </c>
      <c r="BK245" s="24" t="s">
        <v>733</v>
      </c>
      <c r="BL245" s="25" t="s">
        <v>733</v>
      </c>
      <c r="BM245" s="24" t="s">
        <v>733</v>
      </c>
      <c r="BN245" s="24" t="s">
        <v>732</v>
      </c>
      <c r="BO245" s="24" t="s">
        <v>733</v>
      </c>
      <c r="BP245" s="24" t="s">
        <v>733</v>
      </c>
      <c r="BQ245" s="24" t="s">
        <v>945</v>
      </c>
      <c r="BR245" s="24" t="s">
        <v>945</v>
      </c>
      <c r="BS245" s="25" t="s">
        <v>934</v>
      </c>
      <c r="BT245" s="24" t="s">
        <v>934</v>
      </c>
      <c r="BU245" s="24" t="s">
        <v>934</v>
      </c>
      <c r="BV245" s="24" t="s">
        <v>934</v>
      </c>
      <c r="BW245" s="24" t="s">
        <v>934</v>
      </c>
      <c r="BX245" s="24" t="s">
        <v>934</v>
      </c>
      <c r="BY245" s="25" t="s">
        <v>945</v>
      </c>
      <c r="BZ245" t="s">
        <v>1415</v>
      </c>
      <c r="CB245" t="s">
        <v>1416</v>
      </c>
      <c r="CC245" s="4">
        <f>40909*1.12085/10</f>
        <v>4585.2852649999995</v>
      </c>
      <c r="CD245" s="4"/>
      <c r="CE245" s="4"/>
      <c r="CF245" t="s">
        <v>793</v>
      </c>
      <c r="CG245">
        <v>100</v>
      </c>
      <c r="CH245" t="s">
        <v>805</v>
      </c>
      <c r="CI245" s="28">
        <v>0.8</v>
      </c>
      <c r="CJ245" s="10" t="s">
        <v>1442</v>
      </c>
      <c r="CK245" s="9" t="s">
        <v>1</v>
      </c>
      <c r="CL245" s="4" t="s">
        <v>1</v>
      </c>
      <c r="CM245" t="s">
        <v>847</v>
      </c>
      <c r="CN245" s="4">
        <f>99.4*1.12085</f>
        <v>111.41248999999999</v>
      </c>
      <c r="CO245" s="4" t="s">
        <v>1</v>
      </c>
      <c r="CP245" s="4" t="s">
        <v>1</v>
      </c>
      <c r="CQ245" s="4" t="s">
        <v>1</v>
      </c>
      <c r="CR245" s="4" t="s">
        <v>1</v>
      </c>
      <c r="CS245" s="4" t="s">
        <v>1</v>
      </c>
      <c r="CT245" s="4" t="s">
        <v>1</v>
      </c>
      <c r="CU245" s="4" t="s">
        <v>1</v>
      </c>
      <c r="CV245" t="s">
        <v>855</v>
      </c>
      <c r="CW245">
        <v>100</v>
      </c>
      <c r="CX245">
        <v>0</v>
      </c>
      <c r="CY245">
        <v>30</v>
      </c>
      <c r="CZ245" s="26" t="s">
        <v>1358</v>
      </c>
      <c r="DA245" t="s">
        <v>734</v>
      </c>
      <c r="DB245">
        <v>76.2</v>
      </c>
      <c r="DC245">
        <v>0</v>
      </c>
      <c r="DD245">
        <v>30</v>
      </c>
      <c r="DE245" s="26" t="s">
        <v>1358</v>
      </c>
      <c r="DF245" t="s">
        <v>735</v>
      </c>
      <c r="DG245">
        <v>19.399999999999999</v>
      </c>
      <c r="DH245">
        <v>0</v>
      </c>
      <c r="DI245">
        <v>30</v>
      </c>
      <c r="DJ245" s="26" t="s">
        <v>1358</v>
      </c>
      <c r="DK245" t="s">
        <v>736</v>
      </c>
      <c r="DL245">
        <v>4.4000000000000004</v>
      </c>
      <c r="DM245">
        <v>0</v>
      </c>
      <c r="DN245">
        <v>30</v>
      </c>
      <c r="DO245" s="26" t="s">
        <v>1358</v>
      </c>
      <c r="DP245" t="s">
        <v>6</v>
      </c>
      <c r="DQ245" t="s">
        <v>1</v>
      </c>
      <c r="DR245">
        <v>6</v>
      </c>
      <c r="DS245">
        <v>0</v>
      </c>
      <c r="DT245">
        <v>30</v>
      </c>
      <c r="DU245" s="26" t="s">
        <v>1358</v>
      </c>
      <c r="EA245" t="s">
        <v>982</v>
      </c>
      <c r="EB245">
        <v>3.5</v>
      </c>
      <c r="EC245">
        <v>0</v>
      </c>
      <c r="ED245">
        <v>30</v>
      </c>
      <c r="EE245" s="26" t="s">
        <v>1358</v>
      </c>
      <c r="EF245" s="26"/>
      <c r="FZ245" t="s">
        <v>806</v>
      </c>
      <c r="GA245">
        <v>1054.5826</v>
      </c>
      <c r="GE245" s="26" t="s">
        <v>1358</v>
      </c>
      <c r="HA245" s="5" t="s">
        <v>1</v>
      </c>
      <c r="HB245" s="4" t="s">
        <v>1</v>
      </c>
      <c r="HC245" t="s">
        <v>1</v>
      </c>
      <c r="HD245" t="s">
        <v>1</v>
      </c>
      <c r="HE245" t="s">
        <v>1</v>
      </c>
      <c r="HF245" s="5" t="s">
        <v>1063</v>
      </c>
      <c r="HG245" s="4">
        <v>0.19331893333333333</v>
      </c>
      <c r="HH245">
        <v>0</v>
      </c>
      <c r="HI245">
        <v>30</v>
      </c>
      <c r="HJ245" s="26" t="s">
        <v>1358</v>
      </c>
      <c r="HK245" t="s">
        <v>1</v>
      </c>
      <c r="HL245" t="s">
        <v>1</v>
      </c>
      <c r="HM245" t="s">
        <v>1</v>
      </c>
      <c r="HN245" t="s">
        <v>1</v>
      </c>
      <c r="HO245" t="s">
        <v>1</v>
      </c>
      <c r="HP245" t="s">
        <v>1</v>
      </c>
      <c r="HZ245" t="s">
        <v>969</v>
      </c>
      <c r="IA245">
        <v>224</v>
      </c>
      <c r="IB245" s="10" t="s">
        <v>1</v>
      </c>
      <c r="IC245" s="10"/>
      <c r="ID245" s="10"/>
      <c r="IE245" s="10" t="s">
        <v>1</v>
      </c>
      <c r="IF245" s="10" t="s">
        <v>1</v>
      </c>
      <c r="IG245" s="10"/>
      <c r="IH245" s="10"/>
      <c r="II245" s="10"/>
      <c r="IJ245" s="10"/>
      <c r="IK245" s="10"/>
      <c r="IL245" s="10"/>
      <c r="IM245" s="10"/>
      <c r="IN245" s="10"/>
      <c r="IO245" s="10"/>
      <c r="IP245" s="10"/>
      <c r="IQ245" s="10"/>
      <c r="IR245" s="10"/>
      <c r="IS245" t="s">
        <v>1</v>
      </c>
      <c r="IT245" t="s">
        <v>1</v>
      </c>
      <c r="IW245" t="s">
        <v>1</v>
      </c>
      <c r="IX245" t="s">
        <v>1</v>
      </c>
      <c r="IY245" t="s">
        <v>808</v>
      </c>
      <c r="IZ245">
        <v>33.274000000000001</v>
      </c>
      <c r="JA245" t="s">
        <v>1065</v>
      </c>
      <c r="JB245" s="4">
        <f t="shared" si="35"/>
        <v>4.4833999999999996</v>
      </c>
      <c r="JC245" t="s">
        <v>1</v>
      </c>
      <c r="JD245" s="4" t="s">
        <v>1</v>
      </c>
      <c r="JE245" t="s">
        <v>1</v>
      </c>
      <c r="JF245" t="s">
        <v>1</v>
      </c>
      <c r="JR245" t="s">
        <v>1066</v>
      </c>
      <c r="JS245">
        <v>397.9</v>
      </c>
      <c r="JU245" t="s">
        <v>1</v>
      </c>
      <c r="JW245" t="s">
        <v>1</v>
      </c>
      <c r="JX245">
        <v>0</v>
      </c>
      <c r="JY245">
        <v>71.11999999999999</v>
      </c>
      <c r="JZ245" t="s">
        <v>796</v>
      </c>
      <c r="KA245" t="s">
        <v>198</v>
      </c>
      <c r="KB245" t="s">
        <v>738</v>
      </c>
      <c r="KC245" t="s">
        <v>1067</v>
      </c>
      <c r="KD245" s="1">
        <v>0.78459499999999993</v>
      </c>
      <c r="KE245" s="11" t="s">
        <v>1</v>
      </c>
      <c r="KF245" s="11" t="s">
        <v>1</v>
      </c>
      <c r="KG245">
        <v>0</v>
      </c>
      <c r="KH245">
        <v>71.11999999999999</v>
      </c>
      <c r="KI245" t="s">
        <v>796</v>
      </c>
      <c r="KJ245" t="s">
        <v>198</v>
      </c>
      <c r="KK245" t="s">
        <v>738</v>
      </c>
    </row>
    <row r="246" spans="1:297" x14ac:dyDescent="0.2">
      <c r="A246">
        <v>214</v>
      </c>
      <c r="B246" t="s">
        <v>705</v>
      </c>
      <c r="C246" t="s">
        <v>254</v>
      </c>
      <c r="D246" t="s">
        <v>250</v>
      </c>
      <c r="E246">
        <v>36</v>
      </c>
      <c r="F246" t="s">
        <v>251</v>
      </c>
      <c r="G246" t="s">
        <v>250</v>
      </c>
      <c r="H246" s="26" t="s">
        <v>1420</v>
      </c>
      <c r="I246" t="s">
        <v>774</v>
      </c>
      <c r="J246">
        <v>1942</v>
      </c>
      <c r="K246">
        <v>446</v>
      </c>
      <c r="L246" t="s">
        <v>1</v>
      </c>
      <c r="M246" t="s">
        <v>1</v>
      </c>
      <c r="N246" t="s">
        <v>1</v>
      </c>
      <c r="O246" t="s">
        <v>1</v>
      </c>
      <c r="P246">
        <v>12</v>
      </c>
      <c r="Q246" t="s">
        <v>775</v>
      </c>
      <c r="R246" t="s">
        <v>776</v>
      </c>
      <c r="S246" t="b">
        <v>0</v>
      </c>
      <c r="T246">
        <v>13</v>
      </c>
      <c r="U246" t="s">
        <v>777</v>
      </c>
      <c r="V246" t="s">
        <v>778</v>
      </c>
      <c r="W246" t="b">
        <v>0</v>
      </c>
      <c r="X246">
        <v>14</v>
      </c>
      <c r="Y246" t="s">
        <v>779</v>
      </c>
      <c r="Z246" t="s">
        <v>780</v>
      </c>
      <c r="AA246" t="b">
        <v>0</v>
      </c>
      <c r="AB246" t="s">
        <v>1</v>
      </c>
      <c r="AC246" t="s">
        <v>1</v>
      </c>
      <c r="AD246" t="s">
        <v>1</v>
      </c>
      <c r="AE246" t="s">
        <v>1</v>
      </c>
      <c r="AF246" t="s">
        <v>1</v>
      </c>
      <c r="AG246" t="s">
        <v>1</v>
      </c>
      <c r="AH246" t="s">
        <v>1</v>
      </c>
      <c r="AI246" t="s">
        <v>1</v>
      </c>
      <c r="AJ246" t="s">
        <v>1</v>
      </c>
      <c r="AK246" t="s">
        <v>1</v>
      </c>
      <c r="AL246" t="s">
        <v>1</v>
      </c>
      <c r="AM246" t="s">
        <v>1</v>
      </c>
      <c r="AN246">
        <v>214</v>
      </c>
      <c r="AO246">
        <f t="shared" si="25"/>
        <v>214</v>
      </c>
      <c r="AP246">
        <f t="shared" si="26"/>
        <v>36</v>
      </c>
      <c r="AQ246">
        <f t="shared" si="27"/>
        <v>36</v>
      </c>
      <c r="AR246" s="26" t="s">
        <v>1355</v>
      </c>
      <c r="AS246" s="26" t="s">
        <v>1356</v>
      </c>
      <c r="AT246" t="s">
        <v>713</v>
      </c>
      <c r="AU246" t="s">
        <v>1</v>
      </c>
      <c r="AV246" t="s">
        <v>1</v>
      </c>
      <c r="AW246">
        <v>41.86</v>
      </c>
      <c r="AX246">
        <v>-72.66</v>
      </c>
      <c r="AY246" t="s">
        <v>737</v>
      </c>
      <c r="BA246" s="3">
        <v>2</v>
      </c>
      <c r="BB246" s="3"/>
      <c r="BC246" s="3"/>
      <c r="BD246" s="3"/>
      <c r="BE246" s="3"/>
      <c r="BF246">
        <v>1941</v>
      </c>
      <c r="BG246" s="24" t="s">
        <v>733</v>
      </c>
      <c r="BH246" s="24" t="s">
        <v>733</v>
      </c>
      <c r="BI246" s="24" t="s">
        <v>733</v>
      </c>
      <c r="BJ246" s="24" t="s">
        <v>732</v>
      </c>
      <c r="BK246" s="24" t="s">
        <v>733</v>
      </c>
      <c r="BL246" s="25" t="s">
        <v>733</v>
      </c>
      <c r="BM246" s="24" t="s">
        <v>733</v>
      </c>
      <c r="BN246" s="24" t="s">
        <v>732</v>
      </c>
      <c r="BO246" s="24" t="s">
        <v>733</v>
      </c>
      <c r="BP246" s="24" t="s">
        <v>733</v>
      </c>
      <c r="BQ246" s="24" t="s">
        <v>945</v>
      </c>
      <c r="BR246" s="24" t="s">
        <v>945</v>
      </c>
      <c r="BS246" s="25" t="s">
        <v>934</v>
      </c>
      <c r="BT246" s="24" t="s">
        <v>934</v>
      </c>
      <c r="BU246" s="24" t="s">
        <v>934</v>
      </c>
      <c r="BV246" s="24" t="s">
        <v>934</v>
      </c>
      <c r="BW246" s="24" t="s">
        <v>934</v>
      </c>
      <c r="BX246" s="24" t="s">
        <v>934</v>
      </c>
      <c r="BY246" s="25" t="s">
        <v>945</v>
      </c>
      <c r="BZ246" t="s">
        <v>1415</v>
      </c>
      <c r="CB246" t="s">
        <v>1416</v>
      </c>
      <c r="CC246" s="4">
        <f>37607*1.12085/10</f>
        <v>4215.1805949999998</v>
      </c>
      <c r="CD246" s="4"/>
      <c r="CE246" s="4"/>
      <c r="CF246" t="s">
        <v>793</v>
      </c>
      <c r="CG246">
        <v>100</v>
      </c>
      <c r="CH246" t="s">
        <v>805</v>
      </c>
      <c r="CI246" s="28">
        <v>0.8</v>
      </c>
      <c r="CJ246" s="10" t="s">
        <v>1442</v>
      </c>
      <c r="CK246" s="9" t="s">
        <v>1</v>
      </c>
      <c r="CL246" s="4" t="s">
        <v>1</v>
      </c>
      <c r="CM246" t="s">
        <v>847</v>
      </c>
      <c r="CN246" s="4">
        <f>80.8*1.12085</f>
        <v>90.564679999999996</v>
      </c>
      <c r="CO246" s="4" t="s">
        <v>1</v>
      </c>
      <c r="CP246" s="4" t="s">
        <v>1</v>
      </c>
      <c r="CQ246" s="4" t="s">
        <v>1</v>
      </c>
      <c r="CR246" s="4" t="s">
        <v>1</v>
      </c>
      <c r="CS246" s="4" t="s">
        <v>1</v>
      </c>
      <c r="CT246" s="4" t="s">
        <v>1</v>
      </c>
      <c r="CU246" s="4" t="s">
        <v>1</v>
      </c>
      <c r="CV246" t="s">
        <v>855</v>
      </c>
      <c r="CW246">
        <v>100</v>
      </c>
      <c r="CX246">
        <v>0</v>
      </c>
      <c r="CY246">
        <v>30</v>
      </c>
      <c r="CZ246" s="26" t="s">
        <v>1358</v>
      </c>
      <c r="DA246" t="s">
        <v>734</v>
      </c>
      <c r="DB246">
        <v>76.2</v>
      </c>
      <c r="DC246">
        <v>0</v>
      </c>
      <c r="DD246">
        <v>30</v>
      </c>
      <c r="DE246" s="26" t="s">
        <v>1358</v>
      </c>
      <c r="DF246" t="s">
        <v>735</v>
      </c>
      <c r="DG246">
        <v>19.399999999999999</v>
      </c>
      <c r="DH246">
        <v>0</v>
      </c>
      <c r="DI246">
        <v>30</v>
      </c>
      <c r="DJ246" s="26" t="s">
        <v>1358</v>
      </c>
      <c r="DK246" t="s">
        <v>736</v>
      </c>
      <c r="DL246">
        <v>4.4000000000000004</v>
      </c>
      <c r="DM246">
        <v>0</v>
      </c>
      <c r="DN246">
        <v>30</v>
      </c>
      <c r="DO246" s="26" t="s">
        <v>1358</v>
      </c>
      <c r="DP246" t="s">
        <v>6</v>
      </c>
      <c r="DQ246" t="s">
        <v>1</v>
      </c>
      <c r="DR246">
        <v>6</v>
      </c>
      <c r="DS246">
        <v>0</v>
      </c>
      <c r="DT246">
        <v>30</v>
      </c>
      <c r="DU246" s="26" t="s">
        <v>1358</v>
      </c>
      <c r="EA246" t="s">
        <v>982</v>
      </c>
      <c r="EB246">
        <v>3.5</v>
      </c>
      <c r="EC246">
        <v>0</v>
      </c>
      <c r="ED246">
        <v>30</v>
      </c>
      <c r="EE246" s="26" t="s">
        <v>1358</v>
      </c>
      <c r="EF246" s="26"/>
      <c r="FZ246" t="s">
        <v>806</v>
      </c>
      <c r="GA246">
        <v>1054.5826</v>
      </c>
      <c r="GE246" s="26" t="s">
        <v>1358</v>
      </c>
      <c r="HA246" s="5" t="s">
        <v>1</v>
      </c>
      <c r="HB246" s="4" t="s">
        <v>1</v>
      </c>
      <c r="HC246" t="s">
        <v>1</v>
      </c>
      <c r="HD246" t="s">
        <v>1</v>
      </c>
      <c r="HE246" t="s">
        <v>1</v>
      </c>
      <c r="HF246" s="5" t="s">
        <v>1063</v>
      </c>
      <c r="HG246" s="4">
        <v>0.19331893333333333</v>
      </c>
      <c r="HH246">
        <v>0</v>
      </c>
      <c r="HI246">
        <v>30</v>
      </c>
      <c r="HJ246" s="26" t="s">
        <v>1358</v>
      </c>
      <c r="HK246" t="s">
        <v>1</v>
      </c>
      <c r="HL246" t="s">
        <v>1</v>
      </c>
      <c r="HM246" t="s">
        <v>1</v>
      </c>
      <c r="HN246" t="s">
        <v>1</v>
      </c>
      <c r="HO246" t="s">
        <v>1</v>
      </c>
      <c r="HP246" t="s">
        <v>1</v>
      </c>
      <c r="HZ246" t="s">
        <v>969</v>
      </c>
      <c r="IA246">
        <v>45</v>
      </c>
      <c r="IB246" s="10" t="s">
        <v>1</v>
      </c>
      <c r="IC246" s="10"/>
      <c r="ID246" s="10"/>
      <c r="IE246" s="10" t="s">
        <v>1</v>
      </c>
      <c r="IF246" s="10" t="s">
        <v>1</v>
      </c>
      <c r="IG246" s="10"/>
      <c r="IH246" s="10"/>
      <c r="II246" s="10"/>
      <c r="IJ246" s="10"/>
      <c r="IK246" s="10"/>
      <c r="IL246" s="10"/>
      <c r="IM246" s="10"/>
      <c r="IN246" s="10"/>
      <c r="IO246" s="10"/>
      <c r="IP246" s="10"/>
      <c r="IQ246" s="10"/>
      <c r="IR246" s="10"/>
      <c r="IS246" t="s">
        <v>978</v>
      </c>
      <c r="IT246">
        <v>179</v>
      </c>
      <c r="IW246" t="s">
        <v>1</v>
      </c>
      <c r="IX246" t="s">
        <v>1</v>
      </c>
      <c r="IY246" t="s">
        <v>808</v>
      </c>
      <c r="IZ246">
        <v>33.274000000000001</v>
      </c>
      <c r="JA246" t="s">
        <v>1065</v>
      </c>
      <c r="JB246" s="4">
        <f t="shared" si="35"/>
        <v>4.4833999999999996</v>
      </c>
      <c r="JC246" t="s">
        <v>1</v>
      </c>
      <c r="JD246" s="4" t="s">
        <v>1</v>
      </c>
      <c r="JE246" t="s">
        <v>1</v>
      </c>
      <c r="JF246" t="s">
        <v>1</v>
      </c>
      <c r="JR246" t="s">
        <v>1066</v>
      </c>
      <c r="JS246">
        <v>367.2</v>
      </c>
      <c r="JU246" t="s">
        <v>1</v>
      </c>
      <c r="JW246" t="s">
        <v>1</v>
      </c>
      <c r="JX246">
        <v>0</v>
      </c>
      <c r="JY246">
        <v>71.11999999999999</v>
      </c>
      <c r="JZ246" t="s">
        <v>796</v>
      </c>
      <c r="KA246" t="s">
        <v>198</v>
      </c>
      <c r="KB246" t="s">
        <v>738</v>
      </c>
      <c r="KC246" t="s">
        <v>1067</v>
      </c>
      <c r="KD246" s="1">
        <v>0.22416999999999998</v>
      </c>
      <c r="KE246" s="11" t="s">
        <v>1</v>
      </c>
      <c r="KF246" s="11" t="s">
        <v>1</v>
      </c>
      <c r="KG246">
        <v>0</v>
      </c>
      <c r="KH246">
        <v>71.11999999999999</v>
      </c>
      <c r="KI246" t="s">
        <v>796</v>
      </c>
      <c r="KJ246" t="s">
        <v>198</v>
      </c>
      <c r="KK246" t="s">
        <v>738</v>
      </c>
    </row>
    <row r="247" spans="1:297" x14ac:dyDescent="0.2">
      <c r="A247">
        <v>215</v>
      </c>
      <c r="B247" t="s">
        <v>705</v>
      </c>
      <c r="C247" t="s">
        <v>255</v>
      </c>
      <c r="D247" t="s">
        <v>250</v>
      </c>
      <c r="E247">
        <v>36</v>
      </c>
      <c r="F247" t="s">
        <v>251</v>
      </c>
      <c r="G247" t="s">
        <v>250</v>
      </c>
      <c r="H247" s="26" t="s">
        <v>1420</v>
      </c>
      <c r="I247" t="s">
        <v>774</v>
      </c>
      <c r="J247">
        <v>1942</v>
      </c>
      <c r="K247">
        <v>446</v>
      </c>
      <c r="L247" t="s">
        <v>1</v>
      </c>
      <c r="M247" t="s">
        <v>1</v>
      </c>
      <c r="N247" t="s">
        <v>1</v>
      </c>
      <c r="O247" t="s">
        <v>1</v>
      </c>
      <c r="P247">
        <v>12</v>
      </c>
      <c r="Q247" t="s">
        <v>775</v>
      </c>
      <c r="R247" t="s">
        <v>776</v>
      </c>
      <c r="S247" t="b">
        <v>0</v>
      </c>
      <c r="T247">
        <v>13</v>
      </c>
      <c r="U247" t="s">
        <v>777</v>
      </c>
      <c r="V247" t="s">
        <v>778</v>
      </c>
      <c r="W247" t="b">
        <v>0</v>
      </c>
      <c r="X247">
        <v>14</v>
      </c>
      <c r="Y247" t="s">
        <v>779</v>
      </c>
      <c r="Z247" t="s">
        <v>780</v>
      </c>
      <c r="AA247" t="b">
        <v>0</v>
      </c>
      <c r="AB247" t="s">
        <v>1</v>
      </c>
      <c r="AC247" t="s">
        <v>1</v>
      </c>
      <c r="AD247" t="s">
        <v>1</v>
      </c>
      <c r="AE247" t="s">
        <v>1</v>
      </c>
      <c r="AF247" t="s">
        <v>1</v>
      </c>
      <c r="AG247" t="s">
        <v>1</v>
      </c>
      <c r="AH247" t="s">
        <v>1</v>
      </c>
      <c r="AI247" t="s">
        <v>1</v>
      </c>
      <c r="AJ247" t="s">
        <v>1</v>
      </c>
      <c r="AK247" t="s">
        <v>1</v>
      </c>
      <c r="AL247" t="s">
        <v>1</v>
      </c>
      <c r="AM247" t="s">
        <v>1</v>
      </c>
      <c r="AN247">
        <v>215</v>
      </c>
      <c r="AO247">
        <f t="shared" si="25"/>
        <v>215</v>
      </c>
      <c r="AP247">
        <f t="shared" si="26"/>
        <v>36</v>
      </c>
      <c r="AQ247">
        <f t="shared" si="27"/>
        <v>36</v>
      </c>
      <c r="AR247" s="26" t="s">
        <v>1355</v>
      </c>
      <c r="AS247" s="26" t="s">
        <v>1356</v>
      </c>
      <c r="AT247" t="s">
        <v>713</v>
      </c>
      <c r="AU247" t="s">
        <v>1</v>
      </c>
      <c r="AV247" t="s">
        <v>1</v>
      </c>
      <c r="AW247">
        <v>41.86</v>
      </c>
      <c r="AX247">
        <v>-72.66</v>
      </c>
      <c r="AY247" t="s">
        <v>737</v>
      </c>
      <c r="BA247" s="3">
        <v>2</v>
      </c>
      <c r="BB247" s="3"/>
      <c r="BC247" s="3"/>
      <c r="BD247" s="3"/>
      <c r="BE247" s="3"/>
      <c r="BF247">
        <v>1941</v>
      </c>
      <c r="BG247" s="24" t="s">
        <v>733</v>
      </c>
      <c r="BH247" s="24" t="s">
        <v>733</v>
      </c>
      <c r="BI247" s="24" t="s">
        <v>733</v>
      </c>
      <c r="BJ247" s="24" t="s">
        <v>732</v>
      </c>
      <c r="BK247" s="24" t="s">
        <v>733</v>
      </c>
      <c r="BL247" s="25" t="s">
        <v>733</v>
      </c>
      <c r="BM247" s="24" t="s">
        <v>733</v>
      </c>
      <c r="BN247" s="24" t="s">
        <v>732</v>
      </c>
      <c r="BO247" s="24" t="s">
        <v>733</v>
      </c>
      <c r="BP247" s="24" t="s">
        <v>733</v>
      </c>
      <c r="BQ247" s="24" t="s">
        <v>945</v>
      </c>
      <c r="BR247" s="24" t="s">
        <v>945</v>
      </c>
      <c r="BS247" s="25" t="s">
        <v>934</v>
      </c>
      <c r="BT247" s="24" t="s">
        <v>934</v>
      </c>
      <c r="BU247" s="24" t="s">
        <v>934</v>
      </c>
      <c r="BV247" s="24" t="s">
        <v>934</v>
      </c>
      <c r="BW247" s="24" t="s">
        <v>934</v>
      </c>
      <c r="BX247" s="24" t="s">
        <v>934</v>
      </c>
      <c r="BY247" s="25" t="s">
        <v>945</v>
      </c>
      <c r="BZ247" t="s">
        <v>1415</v>
      </c>
      <c r="CB247" t="s">
        <v>1416</v>
      </c>
      <c r="CC247" s="4">
        <f>37656*1.12085/10</f>
        <v>4220.6727599999995</v>
      </c>
      <c r="CD247" s="4"/>
      <c r="CE247" s="4"/>
      <c r="CF247" t="s">
        <v>793</v>
      </c>
      <c r="CG247">
        <v>100</v>
      </c>
      <c r="CH247" t="s">
        <v>805</v>
      </c>
      <c r="CI247" s="28">
        <v>0.8</v>
      </c>
      <c r="CJ247" s="10" t="s">
        <v>1442</v>
      </c>
      <c r="CK247" s="9" t="s">
        <v>1</v>
      </c>
      <c r="CL247" s="4" t="s">
        <v>1</v>
      </c>
      <c r="CM247" t="s">
        <v>847</v>
      </c>
      <c r="CN247" s="4">
        <f>94.1*1.12085</f>
        <v>105.47198499999999</v>
      </c>
      <c r="CO247" s="4" t="s">
        <v>1</v>
      </c>
      <c r="CP247" s="4" t="s">
        <v>1</v>
      </c>
      <c r="CQ247" s="4" t="s">
        <v>1</v>
      </c>
      <c r="CR247" s="4" t="s">
        <v>1</v>
      </c>
      <c r="CS247" s="4" t="s">
        <v>1</v>
      </c>
      <c r="CT247" s="4" t="s">
        <v>1</v>
      </c>
      <c r="CU247" s="4" t="s">
        <v>1</v>
      </c>
      <c r="CV247" t="s">
        <v>855</v>
      </c>
      <c r="CW247">
        <v>100</v>
      </c>
      <c r="CX247">
        <v>0</v>
      </c>
      <c r="CY247">
        <v>30</v>
      </c>
      <c r="CZ247" s="26" t="s">
        <v>1358</v>
      </c>
      <c r="DA247" t="s">
        <v>734</v>
      </c>
      <c r="DB247">
        <v>76.2</v>
      </c>
      <c r="DC247">
        <v>0</v>
      </c>
      <c r="DD247">
        <v>30</v>
      </c>
      <c r="DE247" s="26" t="s">
        <v>1358</v>
      </c>
      <c r="DF247" t="s">
        <v>735</v>
      </c>
      <c r="DG247">
        <v>19.399999999999999</v>
      </c>
      <c r="DH247">
        <v>0</v>
      </c>
      <c r="DI247">
        <v>30</v>
      </c>
      <c r="DJ247" s="26" t="s">
        <v>1358</v>
      </c>
      <c r="DK247" t="s">
        <v>736</v>
      </c>
      <c r="DL247">
        <v>4.4000000000000004</v>
      </c>
      <c r="DM247">
        <v>0</v>
      </c>
      <c r="DN247">
        <v>30</v>
      </c>
      <c r="DO247" s="26" t="s">
        <v>1358</v>
      </c>
      <c r="DP247" t="s">
        <v>6</v>
      </c>
      <c r="DQ247" t="s">
        <v>1</v>
      </c>
      <c r="DR247">
        <v>6</v>
      </c>
      <c r="DS247">
        <v>0</v>
      </c>
      <c r="DT247">
        <v>30</v>
      </c>
      <c r="DU247" s="26" t="s">
        <v>1358</v>
      </c>
      <c r="EA247" t="s">
        <v>982</v>
      </c>
      <c r="EB247">
        <v>3.5</v>
      </c>
      <c r="EC247">
        <v>0</v>
      </c>
      <c r="ED247">
        <v>30</v>
      </c>
      <c r="EE247" s="26" t="s">
        <v>1358</v>
      </c>
      <c r="EF247" s="26"/>
      <c r="FZ247" t="s">
        <v>806</v>
      </c>
      <c r="GA247">
        <v>1054.5826</v>
      </c>
      <c r="GE247" s="26" t="s">
        <v>1358</v>
      </c>
      <c r="HA247" s="5" t="s">
        <v>1</v>
      </c>
      <c r="HB247" s="4" t="s">
        <v>1</v>
      </c>
      <c r="HC247" t="s">
        <v>1</v>
      </c>
      <c r="HD247" t="s">
        <v>1</v>
      </c>
      <c r="HE247" t="s">
        <v>1</v>
      </c>
      <c r="HF247" s="5" t="s">
        <v>1063</v>
      </c>
      <c r="HG247" s="4">
        <v>0.19331893333333333</v>
      </c>
      <c r="HH247">
        <v>0</v>
      </c>
      <c r="HI247">
        <v>30</v>
      </c>
      <c r="HJ247" s="26" t="s">
        <v>1358</v>
      </c>
      <c r="HK247" t="s">
        <v>1</v>
      </c>
      <c r="HL247" t="s">
        <v>1</v>
      </c>
      <c r="HM247" t="s">
        <v>1</v>
      </c>
      <c r="HN247" t="s">
        <v>1</v>
      </c>
      <c r="HO247" t="s">
        <v>1</v>
      </c>
      <c r="HP247" t="s">
        <v>1</v>
      </c>
      <c r="HZ247" t="s">
        <v>1295</v>
      </c>
      <c r="IA247">
        <v>187</v>
      </c>
      <c r="IB247" s="10" t="s">
        <v>827</v>
      </c>
      <c r="IC247" s="10"/>
      <c r="ID247" s="10"/>
      <c r="IE247" s="10" t="s">
        <v>1</v>
      </c>
      <c r="IF247" s="10" t="s">
        <v>1</v>
      </c>
      <c r="IG247" s="10"/>
      <c r="IH247" s="10"/>
      <c r="II247" s="10"/>
      <c r="IJ247" s="10"/>
      <c r="IK247" s="10"/>
      <c r="IL247" s="10"/>
      <c r="IM247" s="10"/>
      <c r="IN247" s="10"/>
      <c r="IO247" s="10"/>
      <c r="IP247" s="10"/>
      <c r="IQ247" s="10"/>
      <c r="IR247" s="10"/>
      <c r="IS247" t="s">
        <v>1</v>
      </c>
      <c r="IT247" t="s">
        <v>1</v>
      </c>
      <c r="IW247" t="s">
        <v>1</v>
      </c>
      <c r="IX247" t="s">
        <v>1</v>
      </c>
      <c r="IY247" t="s">
        <v>808</v>
      </c>
      <c r="IZ247">
        <v>33.274000000000001</v>
      </c>
      <c r="JA247" t="s">
        <v>1065</v>
      </c>
      <c r="JB247" s="4">
        <f t="shared" si="35"/>
        <v>4.4833999999999996</v>
      </c>
      <c r="JC247" t="s">
        <v>1</v>
      </c>
      <c r="JD247" s="4" t="s">
        <v>1</v>
      </c>
      <c r="JE247" t="s">
        <v>1</v>
      </c>
      <c r="JF247" t="s">
        <v>1</v>
      </c>
      <c r="JR247" t="s">
        <v>1066</v>
      </c>
      <c r="JS247">
        <v>336.9</v>
      </c>
      <c r="JU247" t="s">
        <v>1</v>
      </c>
      <c r="JW247" t="s">
        <v>1</v>
      </c>
      <c r="JX247">
        <v>0</v>
      </c>
      <c r="JY247">
        <v>71.11999999999999</v>
      </c>
      <c r="JZ247" t="s">
        <v>796</v>
      </c>
      <c r="KA247" t="s">
        <v>198</v>
      </c>
      <c r="KB247" t="s">
        <v>738</v>
      </c>
      <c r="KC247" t="s">
        <v>1067</v>
      </c>
      <c r="KD247" s="1">
        <v>0.33625499999999997</v>
      </c>
      <c r="KE247" s="11" t="s">
        <v>1</v>
      </c>
      <c r="KF247" s="11" t="s">
        <v>1</v>
      </c>
      <c r="KG247">
        <v>0</v>
      </c>
      <c r="KH247">
        <v>71.11999999999999</v>
      </c>
      <c r="KI247" t="s">
        <v>796</v>
      </c>
      <c r="KJ247" t="s">
        <v>198</v>
      </c>
      <c r="KK247" t="s">
        <v>738</v>
      </c>
    </row>
    <row r="248" spans="1:297" x14ac:dyDescent="0.2">
      <c r="A248">
        <v>216</v>
      </c>
      <c r="B248" t="s">
        <v>705</v>
      </c>
      <c r="C248" t="s">
        <v>256</v>
      </c>
      <c r="D248" t="s">
        <v>250</v>
      </c>
      <c r="E248">
        <v>36</v>
      </c>
      <c r="F248" t="s">
        <v>251</v>
      </c>
      <c r="G248" t="s">
        <v>250</v>
      </c>
      <c r="H248" s="26" t="s">
        <v>1420</v>
      </c>
      <c r="I248" t="s">
        <v>774</v>
      </c>
      <c r="J248">
        <v>1942</v>
      </c>
      <c r="K248">
        <v>446</v>
      </c>
      <c r="L248" t="s">
        <v>1</v>
      </c>
      <c r="M248" t="s">
        <v>1</v>
      </c>
      <c r="N248" t="s">
        <v>1</v>
      </c>
      <c r="O248" t="s">
        <v>1</v>
      </c>
      <c r="P248">
        <v>12</v>
      </c>
      <c r="Q248" t="s">
        <v>775</v>
      </c>
      <c r="R248" t="s">
        <v>776</v>
      </c>
      <c r="S248" t="b">
        <v>0</v>
      </c>
      <c r="T248">
        <v>13</v>
      </c>
      <c r="U248" t="s">
        <v>777</v>
      </c>
      <c r="V248" t="s">
        <v>778</v>
      </c>
      <c r="W248" t="b">
        <v>0</v>
      </c>
      <c r="X248">
        <v>14</v>
      </c>
      <c r="Y248" t="s">
        <v>779</v>
      </c>
      <c r="Z248" t="s">
        <v>780</v>
      </c>
      <c r="AA248" t="b">
        <v>0</v>
      </c>
      <c r="AB248" t="s">
        <v>1</v>
      </c>
      <c r="AC248" t="s">
        <v>1</v>
      </c>
      <c r="AD248" t="s">
        <v>1</v>
      </c>
      <c r="AE248" t="s">
        <v>1</v>
      </c>
      <c r="AF248" t="s">
        <v>1</v>
      </c>
      <c r="AG248" t="s">
        <v>1</v>
      </c>
      <c r="AH248" t="s">
        <v>1</v>
      </c>
      <c r="AI248" t="s">
        <v>1</v>
      </c>
      <c r="AJ248" t="s">
        <v>1</v>
      </c>
      <c r="AK248" t="s">
        <v>1</v>
      </c>
      <c r="AL248" t="s">
        <v>1</v>
      </c>
      <c r="AM248" t="s">
        <v>1</v>
      </c>
      <c r="AN248">
        <v>216</v>
      </c>
      <c r="AO248">
        <f t="shared" si="25"/>
        <v>216</v>
      </c>
      <c r="AP248">
        <f t="shared" si="26"/>
        <v>36</v>
      </c>
      <c r="AQ248">
        <f t="shared" si="27"/>
        <v>36</v>
      </c>
      <c r="AR248" s="26" t="s">
        <v>1355</v>
      </c>
      <c r="AS248" s="26" t="s">
        <v>1356</v>
      </c>
      <c r="AT248" t="s">
        <v>713</v>
      </c>
      <c r="AU248" t="s">
        <v>1</v>
      </c>
      <c r="AV248" t="s">
        <v>1</v>
      </c>
      <c r="AW248">
        <v>41.86</v>
      </c>
      <c r="AX248">
        <v>-72.66</v>
      </c>
      <c r="AY248" t="s">
        <v>737</v>
      </c>
      <c r="BA248" s="3">
        <v>2</v>
      </c>
      <c r="BB248" s="3"/>
      <c r="BC248" s="3"/>
      <c r="BD248" s="3"/>
      <c r="BE248" s="3"/>
      <c r="BF248">
        <v>1941</v>
      </c>
      <c r="BG248" s="24" t="s">
        <v>733</v>
      </c>
      <c r="BH248" s="24" t="s">
        <v>733</v>
      </c>
      <c r="BI248" s="24" t="s">
        <v>733</v>
      </c>
      <c r="BJ248" s="24" t="s">
        <v>732</v>
      </c>
      <c r="BK248" s="24" t="s">
        <v>733</v>
      </c>
      <c r="BL248" s="25" t="s">
        <v>733</v>
      </c>
      <c r="BM248" s="24" t="s">
        <v>733</v>
      </c>
      <c r="BN248" s="24" t="s">
        <v>732</v>
      </c>
      <c r="BO248" s="24" t="s">
        <v>733</v>
      </c>
      <c r="BP248" s="24" t="s">
        <v>733</v>
      </c>
      <c r="BQ248" s="24" t="s">
        <v>945</v>
      </c>
      <c r="BR248" s="24" t="s">
        <v>945</v>
      </c>
      <c r="BS248" s="25" t="s">
        <v>934</v>
      </c>
      <c r="BT248" s="24" t="s">
        <v>934</v>
      </c>
      <c r="BU248" s="24" t="s">
        <v>934</v>
      </c>
      <c r="BV248" s="24" t="s">
        <v>934</v>
      </c>
      <c r="BW248" s="24" t="s">
        <v>934</v>
      </c>
      <c r="BX248" s="24" t="s">
        <v>934</v>
      </c>
      <c r="BY248" s="25" t="s">
        <v>945</v>
      </c>
      <c r="BZ248" t="s">
        <v>1415</v>
      </c>
      <c r="CB248" t="s">
        <v>1416</v>
      </c>
      <c r="CC248" s="4">
        <f>42390*1.12085/10</f>
        <v>4751.2831499999993</v>
      </c>
      <c r="CD248" s="4"/>
      <c r="CE248" s="4"/>
      <c r="CF248" t="s">
        <v>793</v>
      </c>
      <c r="CG248">
        <v>100</v>
      </c>
      <c r="CH248" t="s">
        <v>805</v>
      </c>
      <c r="CI248" s="28">
        <v>0.8</v>
      </c>
      <c r="CJ248" s="10" t="s">
        <v>1442</v>
      </c>
      <c r="CK248" s="9" t="s">
        <v>1</v>
      </c>
      <c r="CL248" s="4" t="s">
        <v>1</v>
      </c>
      <c r="CM248" t="s">
        <v>847</v>
      </c>
      <c r="CN248" s="4">
        <f>104.9*1.12085</f>
        <v>117.57716499999999</v>
      </c>
      <c r="CO248" s="4" t="s">
        <v>1</v>
      </c>
      <c r="CP248" s="4" t="s">
        <v>1</v>
      </c>
      <c r="CQ248" s="4" t="s">
        <v>1</v>
      </c>
      <c r="CR248" s="4" t="s">
        <v>1</v>
      </c>
      <c r="CS248" s="4" t="s">
        <v>1</v>
      </c>
      <c r="CT248" s="4" t="s">
        <v>1</v>
      </c>
      <c r="CU248" s="4" t="s">
        <v>1</v>
      </c>
      <c r="CV248" t="s">
        <v>855</v>
      </c>
      <c r="CW248">
        <v>100</v>
      </c>
      <c r="CX248">
        <v>0</v>
      </c>
      <c r="CY248">
        <v>30</v>
      </c>
      <c r="CZ248" s="26" t="s">
        <v>1358</v>
      </c>
      <c r="DA248" t="s">
        <v>734</v>
      </c>
      <c r="DB248">
        <v>76.2</v>
      </c>
      <c r="DC248">
        <v>0</v>
      </c>
      <c r="DD248">
        <v>30</v>
      </c>
      <c r="DE248" s="26" t="s">
        <v>1358</v>
      </c>
      <c r="DF248" t="s">
        <v>735</v>
      </c>
      <c r="DG248">
        <v>19.399999999999999</v>
      </c>
      <c r="DH248">
        <v>0</v>
      </c>
      <c r="DI248">
        <v>30</v>
      </c>
      <c r="DJ248" s="26" t="s">
        <v>1358</v>
      </c>
      <c r="DK248" t="s">
        <v>736</v>
      </c>
      <c r="DL248">
        <v>4.4000000000000004</v>
      </c>
      <c r="DM248">
        <v>0</v>
      </c>
      <c r="DN248">
        <v>30</v>
      </c>
      <c r="DO248" s="26" t="s">
        <v>1358</v>
      </c>
      <c r="DP248" t="s">
        <v>6</v>
      </c>
      <c r="DQ248" t="s">
        <v>1</v>
      </c>
      <c r="DR248">
        <v>6</v>
      </c>
      <c r="DS248">
        <v>0</v>
      </c>
      <c r="DT248">
        <v>30</v>
      </c>
      <c r="DU248" s="26" t="s">
        <v>1358</v>
      </c>
      <c r="EA248" t="s">
        <v>982</v>
      </c>
      <c r="EB248">
        <v>3.5</v>
      </c>
      <c r="EC248">
        <v>0</v>
      </c>
      <c r="ED248">
        <v>30</v>
      </c>
      <c r="EE248" s="26" t="s">
        <v>1358</v>
      </c>
      <c r="EF248" s="26"/>
      <c r="FZ248" t="s">
        <v>806</v>
      </c>
      <c r="GA248">
        <v>1054.5826</v>
      </c>
      <c r="GE248" s="26" t="s">
        <v>1358</v>
      </c>
      <c r="HA248" s="5" t="s">
        <v>1</v>
      </c>
      <c r="HB248" s="4" t="s">
        <v>1</v>
      </c>
      <c r="HC248" t="s">
        <v>1</v>
      </c>
      <c r="HD248" t="s">
        <v>1</v>
      </c>
      <c r="HE248" t="s">
        <v>1</v>
      </c>
      <c r="HF248" s="5" t="s">
        <v>1063</v>
      </c>
      <c r="HG248" s="4">
        <v>0.19331893333333333</v>
      </c>
      <c r="HH248">
        <v>0</v>
      </c>
      <c r="HI248">
        <v>30</v>
      </c>
      <c r="HJ248" s="26" t="s">
        <v>1358</v>
      </c>
      <c r="HK248" t="s">
        <v>1</v>
      </c>
      <c r="HL248" t="s">
        <v>1</v>
      </c>
      <c r="HM248" t="s">
        <v>1</v>
      </c>
      <c r="HN248" t="s">
        <v>1</v>
      </c>
      <c r="HO248" t="s">
        <v>1</v>
      </c>
      <c r="HP248" t="s">
        <v>1</v>
      </c>
      <c r="HZ248" t="s">
        <v>969</v>
      </c>
      <c r="IA248">
        <v>224</v>
      </c>
      <c r="IB248" s="10" t="s">
        <v>1</v>
      </c>
      <c r="IC248" s="10"/>
      <c r="ID248" s="10"/>
      <c r="IE248" s="10" t="s">
        <v>1</v>
      </c>
      <c r="IF248" s="10" t="s">
        <v>1</v>
      </c>
      <c r="IG248" s="10"/>
      <c r="IH248" s="10"/>
      <c r="II248" s="10"/>
      <c r="IJ248" s="10"/>
      <c r="IK248" s="10"/>
      <c r="IL248" s="10"/>
      <c r="IM248" s="10"/>
      <c r="IN248" s="10"/>
      <c r="IO248" s="10"/>
      <c r="IP248" s="10"/>
      <c r="IQ248" s="10"/>
      <c r="IR248" s="10"/>
      <c r="IS248" t="s">
        <v>1</v>
      </c>
      <c r="IT248" t="s">
        <v>1</v>
      </c>
      <c r="IW248" t="s">
        <v>1</v>
      </c>
      <c r="IX248" t="s">
        <v>1</v>
      </c>
      <c r="IY248" t="s">
        <v>808</v>
      </c>
      <c r="IZ248">
        <v>33.274000000000001</v>
      </c>
      <c r="JA248" t="s">
        <v>1065</v>
      </c>
      <c r="JB248" s="4">
        <f t="shared" si="35"/>
        <v>4.4833999999999996</v>
      </c>
      <c r="JC248" t="s">
        <v>1</v>
      </c>
      <c r="JD248" s="4" t="s">
        <v>1</v>
      </c>
      <c r="JE248" t="s">
        <v>1</v>
      </c>
      <c r="JF248" t="s">
        <v>1</v>
      </c>
      <c r="JR248" t="s">
        <v>1066</v>
      </c>
      <c r="JS248">
        <v>239.1</v>
      </c>
      <c r="JU248" t="s">
        <v>1</v>
      </c>
      <c r="JW248" t="s">
        <v>1</v>
      </c>
      <c r="JX248">
        <v>0</v>
      </c>
      <c r="JY248">
        <v>71.11999999999999</v>
      </c>
      <c r="JZ248" t="s">
        <v>796</v>
      </c>
      <c r="KA248" t="s">
        <v>198</v>
      </c>
      <c r="KB248" t="s">
        <v>738</v>
      </c>
      <c r="KC248" t="s">
        <v>1067</v>
      </c>
      <c r="KD248" s="1">
        <v>0.22416999999999998</v>
      </c>
      <c r="KE248" s="11" t="s">
        <v>1</v>
      </c>
      <c r="KF248" s="11" t="s">
        <v>1</v>
      </c>
      <c r="KG248">
        <v>0</v>
      </c>
      <c r="KH248">
        <v>71.11999999999999</v>
      </c>
      <c r="KI248" t="s">
        <v>796</v>
      </c>
      <c r="KJ248" t="s">
        <v>198</v>
      </c>
      <c r="KK248" t="s">
        <v>738</v>
      </c>
    </row>
    <row r="249" spans="1:297" x14ac:dyDescent="0.2">
      <c r="A249">
        <v>217</v>
      </c>
      <c r="B249" t="s">
        <v>705</v>
      </c>
      <c r="C249" t="s">
        <v>257</v>
      </c>
      <c r="D249" t="s">
        <v>250</v>
      </c>
      <c r="E249">
        <v>36</v>
      </c>
      <c r="F249" t="s">
        <v>251</v>
      </c>
      <c r="G249" t="s">
        <v>250</v>
      </c>
      <c r="H249" s="26" t="s">
        <v>1420</v>
      </c>
      <c r="I249" t="s">
        <v>774</v>
      </c>
      <c r="J249">
        <v>1942</v>
      </c>
      <c r="K249">
        <v>446</v>
      </c>
      <c r="L249" t="s">
        <v>1</v>
      </c>
      <c r="M249" t="s">
        <v>1</v>
      </c>
      <c r="N249" t="s">
        <v>1</v>
      </c>
      <c r="O249" t="s">
        <v>1</v>
      </c>
      <c r="P249">
        <v>12</v>
      </c>
      <c r="Q249" t="s">
        <v>775</v>
      </c>
      <c r="R249" t="s">
        <v>776</v>
      </c>
      <c r="S249" t="b">
        <v>0</v>
      </c>
      <c r="T249">
        <v>13</v>
      </c>
      <c r="U249" t="s">
        <v>777</v>
      </c>
      <c r="V249" t="s">
        <v>778</v>
      </c>
      <c r="W249" t="b">
        <v>0</v>
      </c>
      <c r="X249">
        <v>14</v>
      </c>
      <c r="Y249" t="s">
        <v>779</v>
      </c>
      <c r="Z249" t="s">
        <v>780</v>
      </c>
      <c r="AA249" t="b">
        <v>0</v>
      </c>
      <c r="AB249" t="s">
        <v>1</v>
      </c>
      <c r="AC249" t="s">
        <v>1</v>
      </c>
      <c r="AD249" t="s">
        <v>1</v>
      </c>
      <c r="AE249" t="s">
        <v>1</v>
      </c>
      <c r="AF249" t="s">
        <v>1</v>
      </c>
      <c r="AG249" t="s">
        <v>1</v>
      </c>
      <c r="AH249" t="s">
        <v>1</v>
      </c>
      <c r="AI249" t="s">
        <v>1</v>
      </c>
      <c r="AJ249" t="s">
        <v>1</v>
      </c>
      <c r="AK249" t="s">
        <v>1</v>
      </c>
      <c r="AL249" t="s">
        <v>1</v>
      </c>
      <c r="AM249" t="s">
        <v>1</v>
      </c>
      <c r="AN249">
        <v>217</v>
      </c>
      <c r="AO249">
        <f t="shared" si="25"/>
        <v>217</v>
      </c>
      <c r="AP249">
        <f t="shared" si="26"/>
        <v>36</v>
      </c>
      <c r="AQ249">
        <f t="shared" si="27"/>
        <v>36</v>
      </c>
      <c r="AR249" s="26" t="s">
        <v>1355</v>
      </c>
      <c r="AS249" s="26" t="s">
        <v>1356</v>
      </c>
      <c r="AT249" t="s">
        <v>713</v>
      </c>
      <c r="AU249" t="s">
        <v>1</v>
      </c>
      <c r="AV249" t="s">
        <v>1</v>
      </c>
      <c r="AW249">
        <v>41.86</v>
      </c>
      <c r="AX249">
        <v>-72.66</v>
      </c>
      <c r="AY249" t="s">
        <v>737</v>
      </c>
      <c r="BA249" s="3">
        <v>2</v>
      </c>
      <c r="BB249" s="3"/>
      <c r="BC249" s="3"/>
      <c r="BD249" s="3"/>
      <c r="BE249" s="3"/>
      <c r="BF249">
        <v>1941</v>
      </c>
      <c r="BG249" s="24" t="s">
        <v>733</v>
      </c>
      <c r="BH249" s="24" t="s">
        <v>733</v>
      </c>
      <c r="BI249" s="24" t="s">
        <v>733</v>
      </c>
      <c r="BJ249" s="24" t="s">
        <v>732</v>
      </c>
      <c r="BK249" s="24" t="s">
        <v>733</v>
      </c>
      <c r="BL249" s="25" t="s">
        <v>733</v>
      </c>
      <c r="BM249" s="24" t="s">
        <v>733</v>
      </c>
      <c r="BN249" s="24" t="s">
        <v>732</v>
      </c>
      <c r="BO249" s="24" t="s">
        <v>733</v>
      </c>
      <c r="BP249" s="24" t="s">
        <v>733</v>
      </c>
      <c r="BQ249" s="24" t="s">
        <v>945</v>
      </c>
      <c r="BR249" s="24" t="s">
        <v>945</v>
      </c>
      <c r="BS249" s="25" t="s">
        <v>934</v>
      </c>
      <c r="BT249" s="24" t="s">
        <v>934</v>
      </c>
      <c r="BU249" s="24" t="s">
        <v>934</v>
      </c>
      <c r="BV249" s="24" t="s">
        <v>934</v>
      </c>
      <c r="BW249" s="24" t="s">
        <v>934</v>
      </c>
      <c r="BX249" s="24" t="s">
        <v>934</v>
      </c>
      <c r="BY249" s="25" t="s">
        <v>945</v>
      </c>
      <c r="BZ249" t="s">
        <v>1415</v>
      </c>
      <c r="CB249" t="s">
        <v>1416</v>
      </c>
      <c r="CC249" s="4">
        <f>37775*1.12085/10</f>
        <v>4234.0108749999999</v>
      </c>
      <c r="CD249" s="4"/>
      <c r="CE249" s="4"/>
      <c r="CF249" t="s">
        <v>793</v>
      </c>
      <c r="CG249">
        <v>100</v>
      </c>
      <c r="CH249" t="s">
        <v>805</v>
      </c>
      <c r="CI249" s="28">
        <v>0.8</v>
      </c>
      <c r="CJ249" s="10" t="s">
        <v>1442</v>
      </c>
      <c r="CK249" s="9" t="s">
        <v>1</v>
      </c>
      <c r="CL249" s="4" t="s">
        <v>1</v>
      </c>
      <c r="CM249" t="s">
        <v>847</v>
      </c>
      <c r="CN249" s="4">
        <f>85.8*1.12085</f>
        <v>96.168929999999989</v>
      </c>
      <c r="CO249" s="4" t="s">
        <v>1</v>
      </c>
      <c r="CP249" s="4" t="s">
        <v>1</v>
      </c>
      <c r="CQ249" s="4" t="s">
        <v>1</v>
      </c>
      <c r="CR249" s="4" t="s">
        <v>1</v>
      </c>
      <c r="CS249" s="4" t="s">
        <v>1</v>
      </c>
      <c r="CT249" s="4" t="s">
        <v>1</v>
      </c>
      <c r="CU249" s="4" t="s">
        <v>1</v>
      </c>
      <c r="CV249" t="s">
        <v>855</v>
      </c>
      <c r="CW249">
        <v>100</v>
      </c>
      <c r="CX249">
        <v>0</v>
      </c>
      <c r="CY249">
        <v>30</v>
      </c>
      <c r="CZ249" s="26" t="s">
        <v>1358</v>
      </c>
      <c r="DA249" t="s">
        <v>734</v>
      </c>
      <c r="DB249">
        <v>76.2</v>
      </c>
      <c r="DC249">
        <v>0</v>
      </c>
      <c r="DD249">
        <v>30</v>
      </c>
      <c r="DE249" s="26" t="s">
        <v>1358</v>
      </c>
      <c r="DF249" t="s">
        <v>735</v>
      </c>
      <c r="DG249">
        <v>19.399999999999999</v>
      </c>
      <c r="DH249">
        <v>0</v>
      </c>
      <c r="DI249">
        <v>30</v>
      </c>
      <c r="DJ249" s="26" t="s">
        <v>1358</v>
      </c>
      <c r="DK249" t="s">
        <v>736</v>
      </c>
      <c r="DL249">
        <v>4.4000000000000004</v>
      </c>
      <c r="DM249">
        <v>0</v>
      </c>
      <c r="DN249">
        <v>30</v>
      </c>
      <c r="DO249" s="26" t="s">
        <v>1358</v>
      </c>
      <c r="DP249" t="s">
        <v>6</v>
      </c>
      <c r="DQ249" t="s">
        <v>1</v>
      </c>
      <c r="DR249">
        <v>6</v>
      </c>
      <c r="DS249">
        <v>0</v>
      </c>
      <c r="DT249">
        <v>30</v>
      </c>
      <c r="DU249" s="26" t="s">
        <v>1358</v>
      </c>
      <c r="EA249" t="s">
        <v>982</v>
      </c>
      <c r="EB249">
        <v>3.5</v>
      </c>
      <c r="EC249">
        <v>0</v>
      </c>
      <c r="ED249">
        <v>30</v>
      </c>
      <c r="EE249" s="26" t="s">
        <v>1358</v>
      </c>
      <c r="EF249" s="26"/>
      <c r="FZ249" t="s">
        <v>806</v>
      </c>
      <c r="GA249">
        <v>1054.5826</v>
      </c>
      <c r="GE249" s="26" t="s">
        <v>1358</v>
      </c>
      <c r="HA249" s="5" t="s">
        <v>1</v>
      </c>
      <c r="HB249" s="4" t="s">
        <v>1</v>
      </c>
      <c r="HC249" t="s">
        <v>1</v>
      </c>
      <c r="HD249" t="s">
        <v>1</v>
      </c>
      <c r="HE249" t="s">
        <v>1</v>
      </c>
      <c r="HF249" s="5" t="s">
        <v>1063</v>
      </c>
      <c r="HG249" s="4">
        <v>0.19331893333333333</v>
      </c>
      <c r="HH249">
        <v>0</v>
      </c>
      <c r="HI249">
        <v>30</v>
      </c>
      <c r="HJ249" s="26" t="s">
        <v>1358</v>
      </c>
      <c r="HK249" t="s">
        <v>1</v>
      </c>
      <c r="HL249" t="s">
        <v>1</v>
      </c>
      <c r="HM249" t="s">
        <v>1</v>
      </c>
      <c r="HN249" t="s">
        <v>1</v>
      </c>
      <c r="HO249" t="s">
        <v>1</v>
      </c>
      <c r="HP249" t="s">
        <v>1</v>
      </c>
      <c r="HZ249" t="s">
        <v>969</v>
      </c>
      <c r="IA249">
        <v>45</v>
      </c>
      <c r="IB249" s="10" t="s">
        <v>1</v>
      </c>
      <c r="IC249" s="10"/>
      <c r="ID249" s="10"/>
      <c r="IE249" s="10" t="s">
        <v>1</v>
      </c>
      <c r="IF249" s="10" t="s">
        <v>1</v>
      </c>
      <c r="IG249" s="10"/>
      <c r="IH249" s="10"/>
      <c r="II249" s="10"/>
      <c r="IJ249" s="10"/>
      <c r="IK249" s="10"/>
      <c r="IL249" s="10"/>
      <c r="IM249" s="10"/>
      <c r="IN249" s="10"/>
      <c r="IO249" s="10"/>
      <c r="IP249" s="10"/>
      <c r="IQ249" s="10"/>
      <c r="IR249" s="10"/>
      <c r="IS249" t="s">
        <v>978</v>
      </c>
      <c r="IT249">
        <v>179</v>
      </c>
      <c r="IW249" t="s">
        <v>1</v>
      </c>
      <c r="IX249" t="s">
        <v>1</v>
      </c>
      <c r="IY249" t="s">
        <v>808</v>
      </c>
      <c r="IZ249">
        <v>33.274000000000001</v>
      </c>
      <c r="JA249" t="s">
        <v>1065</v>
      </c>
      <c r="JB249" s="4">
        <f t="shared" si="35"/>
        <v>4.4833999999999996</v>
      </c>
      <c r="JC249" t="s">
        <v>1</v>
      </c>
      <c r="JD249" s="4" t="s">
        <v>1</v>
      </c>
      <c r="JE249" t="s">
        <v>1</v>
      </c>
      <c r="JF249" t="s">
        <v>1</v>
      </c>
      <c r="JR249" t="s">
        <v>1066</v>
      </c>
      <c r="JS249">
        <v>158.30000000000001</v>
      </c>
      <c r="JU249" t="s">
        <v>1</v>
      </c>
      <c r="JW249" t="s">
        <v>1</v>
      </c>
      <c r="JX249">
        <v>0</v>
      </c>
      <c r="JY249">
        <v>71.11999999999999</v>
      </c>
      <c r="JZ249" t="s">
        <v>796</v>
      </c>
      <c r="KA249" t="s">
        <v>198</v>
      </c>
      <c r="KB249" t="s">
        <v>738</v>
      </c>
      <c r="KC249" t="s">
        <v>1067</v>
      </c>
      <c r="KD249" s="1">
        <v>0.22416999999999998</v>
      </c>
      <c r="KE249" s="11" t="s">
        <v>1</v>
      </c>
      <c r="KF249" s="11" t="s">
        <v>1</v>
      </c>
      <c r="KG249">
        <v>0</v>
      </c>
      <c r="KH249">
        <v>71.11999999999999</v>
      </c>
      <c r="KI249" t="s">
        <v>796</v>
      </c>
      <c r="KJ249" t="s">
        <v>198</v>
      </c>
      <c r="KK249" t="s">
        <v>738</v>
      </c>
    </row>
    <row r="250" spans="1:297" x14ac:dyDescent="0.2">
      <c r="A250">
        <v>218</v>
      </c>
      <c r="B250" t="s">
        <v>705</v>
      </c>
      <c r="C250" t="s">
        <v>258</v>
      </c>
      <c r="D250" t="s">
        <v>250</v>
      </c>
      <c r="E250">
        <v>36</v>
      </c>
      <c r="F250" t="s">
        <v>251</v>
      </c>
      <c r="G250" t="s">
        <v>250</v>
      </c>
      <c r="H250" s="26" t="s">
        <v>1420</v>
      </c>
      <c r="I250" t="s">
        <v>774</v>
      </c>
      <c r="J250">
        <v>1942</v>
      </c>
      <c r="K250">
        <v>446</v>
      </c>
      <c r="L250" t="s">
        <v>1</v>
      </c>
      <c r="M250" t="s">
        <v>1</v>
      </c>
      <c r="N250" t="s">
        <v>1</v>
      </c>
      <c r="O250" t="s">
        <v>1</v>
      </c>
      <c r="P250">
        <v>12</v>
      </c>
      <c r="Q250" t="s">
        <v>775</v>
      </c>
      <c r="R250" t="s">
        <v>776</v>
      </c>
      <c r="S250" t="b">
        <v>0</v>
      </c>
      <c r="T250">
        <v>13</v>
      </c>
      <c r="U250" t="s">
        <v>777</v>
      </c>
      <c r="V250" t="s">
        <v>778</v>
      </c>
      <c r="W250" t="b">
        <v>0</v>
      </c>
      <c r="X250">
        <v>14</v>
      </c>
      <c r="Y250" t="s">
        <v>779</v>
      </c>
      <c r="Z250" t="s">
        <v>780</v>
      </c>
      <c r="AA250" t="b">
        <v>0</v>
      </c>
      <c r="AB250" t="s">
        <v>1</v>
      </c>
      <c r="AC250" t="s">
        <v>1</v>
      </c>
      <c r="AD250" t="s">
        <v>1</v>
      </c>
      <c r="AE250" t="s">
        <v>1</v>
      </c>
      <c r="AF250" t="s">
        <v>1</v>
      </c>
      <c r="AG250" t="s">
        <v>1</v>
      </c>
      <c r="AH250" t="s">
        <v>1</v>
      </c>
      <c r="AI250" t="s">
        <v>1</v>
      </c>
      <c r="AJ250" t="s">
        <v>1</v>
      </c>
      <c r="AK250" t="s">
        <v>1</v>
      </c>
      <c r="AL250" t="s">
        <v>1</v>
      </c>
      <c r="AM250" t="s">
        <v>1</v>
      </c>
      <c r="AN250">
        <v>218</v>
      </c>
      <c r="AO250">
        <f t="shared" si="25"/>
        <v>218</v>
      </c>
      <c r="AP250">
        <f t="shared" si="26"/>
        <v>36</v>
      </c>
      <c r="AQ250">
        <f t="shared" si="27"/>
        <v>36</v>
      </c>
      <c r="AR250" s="26" t="s">
        <v>1355</v>
      </c>
      <c r="AS250" s="26" t="s">
        <v>1356</v>
      </c>
      <c r="AT250" t="s">
        <v>713</v>
      </c>
      <c r="AU250" t="s">
        <v>1</v>
      </c>
      <c r="AV250" t="s">
        <v>1</v>
      </c>
      <c r="AW250">
        <v>41.86</v>
      </c>
      <c r="AX250">
        <v>-72.66</v>
      </c>
      <c r="AY250" t="s">
        <v>737</v>
      </c>
      <c r="BA250" s="3">
        <v>2</v>
      </c>
      <c r="BB250" s="3"/>
      <c r="BC250" s="3"/>
      <c r="BD250" s="3"/>
      <c r="BE250" s="3"/>
      <c r="BF250">
        <v>1941</v>
      </c>
      <c r="BG250" s="24" t="s">
        <v>733</v>
      </c>
      <c r="BH250" s="24" t="s">
        <v>733</v>
      </c>
      <c r="BI250" s="24" t="s">
        <v>733</v>
      </c>
      <c r="BJ250" s="24" t="s">
        <v>732</v>
      </c>
      <c r="BK250" s="24" t="s">
        <v>733</v>
      </c>
      <c r="BL250" s="25" t="s">
        <v>733</v>
      </c>
      <c r="BM250" s="24" t="s">
        <v>733</v>
      </c>
      <c r="BN250" s="24" t="s">
        <v>732</v>
      </c>
      <c r="BO250" s="24" t="s">
        <v>733</v>
      </c>
      <c r="BP250" s="24" t="s">
        <v>733</v>
      </c>
      <c r="BQ250" s="24" t="s">
        <v>945</v>
      </c>
      <c r="BR250" s="24" t="s">
        <v>945</v>
      </c>
      <c r="BS250" s="25" t="s">
        <v>934</v>
      </c>
      <c r="BT250" s="24" t="s">
        <v>934</v>
      </c>
      <c r="BU250" s="24" t="s">
        <v>934</v>
      </c>
      <c r="BV250" s="24" t="s">
        <v>934</v>
      </c>
      <c r="BW250" s="24" t="s">
        <v>934</v>
      </c>
      <c r="BX250" s="24" t="s">
        <v>934</v>
      </c>
      <c r="BY250" s="25" t="s">
        <v>945</v>
      </c>
      <c r="BZ250" t="s">
        <v>1415</v>
      </c>
      <c r="CB250" t="s">
        <v>1416</v>
      </c>
      <c r="CC250" s="4">
        <f>39172*1.12085/10</f>
        <v>4390.5936199999996</v>
      </c>
      <c r="CD250" s="4"/>
      <c r="CE250" s="4"/>
      <c r="CF250" t="s">
        <v>793</v>
      </c>
      <c r="CG250">
        <v>100</v>
      </c>
      <c r="CH250" t="s">
        <v>805</v>
      </c>
      <c r="CI250" s="28">
        <v>0.8</v>
      </c>
      <c r="CJ250" s="10" t="s">
        <v>1442</v>
      </c>
      <c r="CK250" s="9" t="s">
        <v>1</v>
      </c>
      <c r="CL250" s="4" t="s">
        <v>1</v>
      </c>
      <c r="CM250" t="s">
        <v>847</v>
      </c>
      <c r="CN250" s="4">
        <f>86.9*1.12085</f>
        <v>97.401865000000001</v>
      </c>
      <c r="CO250" s="4" t="s">
        <v>1</v>
      </c>
      <c r="CP250" s="4" t="s">
        <v>1</v>
      </c>
      <c r="CQ250" s="4" t="s">
        <v>1</v>
      </c>
      <c r="CR250" s="4" t="s">
        <v>1</v>
      </c>
      <c r="CS250" s="4" t="s">
        <v>1</v>
      </c>
      <c r="CT250" s="4" t="s">
        <v>1</v>
      </c>
      <c r="CU250" s="4" t="s">
        <v>1</v>
      </c>
      <c r="CV250" t="s">
        <v>855</v>
      </c>
      <c r="CW250">
        <v>100</v>
      </c>
      <c r="CX250">
        <v>0</v>
      </c>
      <c r="CY250">
        <v>30</v>
      </c>
      <c r="CZ250" s="26" t="s">
        <v>1358</v>
      </c>
      <c r="DA250" t="s">
        <v>734</v>
      </c>
      <c r="DB250">
        <v>76.2</v>
      </c>
      <c r="DC250">
        <v>0</v>
      </c>
      <c r="DD250">
        <v>30</v>
      </c>
      <c r="DE250" s="26" t="s">
        <v>1358</v>
      </c>
      <c r="DF250" t="s">
        <v>735</v>
      </c>
      <c r="DG250">
        <v>19.399999999999999</v>
      </c>
      <c r="DH250">
        <v>0</v>
      </c>
      <c r="DI250">
        <v>30</v>
      </c>
      <c r="DJ250" s="26" t="s">
        <v>1358</v>
      </c>
      <c r="DK250" t="s">
        <v>736</v>
      </c>
      <c r="DL250">
        <v>4.4000000000000004</v>
      </c>
      <c r="DM250">
        <v>0</v>
      </c>
      <c r="DN250">
        <v>30</v>
      </c>
      <c r="DO250" s="26" t="s">
        <v>1358</v>
      </c>
      <c r="DP250" t="s">
        <v>6</v>
      </c>
      <c r="DQ250" t="s">
        <v>1</v>
      </c>
      <c r="DR250">
        <v>6</v>
      </c>
      <c r="DS250">
        <v>0</v>
      </c>
      <c r="DT250">
        <v>30</v>
      </c>
      <c r="DU250" s="26" t="s">
        <v>1358</v>
      </c>
      <c r="EA250" t="s">
        <v>982</v>
      </c>
      <c r="EB250">
        <v>3.5</v>
      </c>
      <c r="EC250">
        <v>0</v>
      </c>
      <c r="ED250">
        <v>30</v>
      </c>
      <c r="EE250" s="26" t="s">
        <v>1358</v>
      </c>
      <c r="EF250" s="26"/>
      <c r="FZ250" t="s">
        <v>806</v>
      </c>
      <c r="GA250">
        <v>1054.5826</v>
      </c>
      <c r="GE250" s="26" t="s">
        <v>1358</v>
      </c>
      <c r="HA250" s="5" t="s">
        <v>1</v>
      </c>
      <c r="HB250" s="4" t="s">
        <v>1</v>
      </c>
      <c r="HC250" t="s">
        <v>1</v>
      </c>
      <c r="HD250" t="s">
        <v>1</v>
      </c>
      <c r="HE250" t="s">
        <v>1</v>
      </c>
      <c r="HF250" s="5" t="s">
        <v>1063</v>
      </c>
      <c r="HG250" s="4">
        <v>0.19331893333333333</v>
      </c>
      <c r="HH250">
        <v>0</v>
      </c>
      <c r="HI250">
        <v>30</v>
      </c>
      <c r="HJ250" s="26" t="s">
        <v>1358</v>
      </c>
      <c r="HK250" t="s">
        <v>1</v>
      </c>
      <c r="HL250" t="s">
        <v>1</v>
      </c>
      <c r="HM250" t="s">
        <v>1</v>
      </c>
      <c r="HN250" t="s">
        <v>1</v>
      </c>
      <c r="HO250" t="s">
        <v>1</v>
      </c>
      <c r="HP250" t="s">
        <v>1</v>
      </c>
      <c r="HZ250" t="s">
        <v>969</v>
      </c>
      <c r="IA250">
        <v>45</v>
      </c>
      <c r="IB250" s="10" t="s">
        <v>1</v>
      </c>
      <c r="IC250" s="10"/>
      <c r="ID250" s="10"/>
      <c r="IE250" s="10" t="s">
        <v>1</v>
      </c>
      <c r="IF250" s="10" t="s">
        <v>1</v>
      </c>
      <c r="IG250" s="10"/>
      <c r="IH250" s="10"/>
      <c r="II250" s="10"/>
      <c r="IJ250" s="10"/>
      <c r="IK250" s="10"/>
      <c r="IL250" s="10"/>
      <c r="IM250" s="10"/>
      <c r="IN250" s="10"/>
      <c r="IO250" s="10"/>
      <c r="IP250" s="10"/>
      <c r="IQ250" s="10"/>
      <c r="IR250" s="10"/>
      <c r="IS250" t="s">
        <v>978</v>
      </c>
      <c r="IT250">
        <v>179</v>
      </c>
      <c r="IW250" t="s">
        <v>1</v>
      </c>
      <c r="IX250" t="s">
        <v>1</v>
      </c>
      <c r="IY250" t="s">
        <v>808</v>
      </c>
      <c r="IZ250">
        <v>33.274000000000001</v>
      </c>
      <c r="JA250" t="s">
        <v>1065</v>
      </c>
      <c r="JB250" s="4">
        <f t="shared" si="35"/>
        <v>4.4833999999999996</v>
      </c>
      <c r="JC250" t="s">
        <v>1</v>
      </c>
      <c r="JD250" s="4" t="s">
        <v>1</v>
      </c>
      <c r="JE250" t="s">
        <v>1</v>
      </c>
      <c r="JF250" t="s">
        <v>1</v>
      </c>
      <c r="JR250" t="s">
        <v>1066</v>
      </c>
      <c r="JS250">
        <v>124.5</v>
      </c>
      <c r="JU250" t="s">
        <v>1</v>
      </c>
      <c r="JW250" t="s">
        <v>1</v>
      </c>
      <c r="JX250">
        <v>0</v>
      </c>
      <c r="JY250">
        <v>71.11999999999999</v>
      </c>
      <c r="JZ250" t="s">
        <v>796</v>
      </c>
      <c r="KA250" t="s">
        <v>198</v>
      </c>
      <c r="KB250" t="s">
        <v>738</v>
      </c>
      <c r="KC250" t="s">
        <v>1067</v>
      </c>
      <c r="KD250" s="1">
        <v>0.33625499999999997</v>
      </c>
      <c r="KE250" s="11" t="s">
        <v>1</v>
      </c>
      <c r="KF250" s="11" t="s">
        <v>1</v>
      </c>
      <c r="KG250">
        <v>0</v>
      </c>
      <c r="KH250">
        <v>71.11999999999999</v>
      </c>
      <c r="KI250" t="s">
        <v>796</v>
      </c>
      <c r="KJ250" t="s">
        <v>198</v>
      </c>
      <c r="KK250" t="s">
        <v>738</v>
      </c>
    </row>
    <row r="251" spans="1:297" x14ac:dyDescent="0.2">
      <c r="A251">
        <v>219</v>
      </c>
      <c r="B251" t="s">
        <v>705</v>
      </c>
      <c r="C251" t="s">
        <v>259</v>
      </c>
      <c r="D251" t="s">
        <v>250</v>
      </c>
      <c r="E251">
        <v>36</v>
      </c>
      <c r="F251" t="s">
        <v>251</v>
      </c>
      <c r="G251" t="s">
        <v>250</v>
      </c>
      <c r="H251" s="26" t="s">
        <v>1420</v>
      </c>
      <c r="I251" t="s">
        <v>774</v>
      </c>
      <c r="J251">
        <v>1942</v>
      </c>
      <c r="K251">
        <v>446</v>
      </c>
      <c r="L251" t="s">
        <v>1</v>
      </c>
      <c r="M251" t="s">
        <v>1</v>
      </c>
      <c r="N251" t="s">
        <v>1</v>
      </c>
      <c r="O251" t="s">
        <v>1</v>
      </c>
      <c r="P251">
        <v>12</v>
      </c>
      <c r="Q251" t="s">
        <v>775</v>
      </c>
      <c r="R251" t="s">
        <v>776</v>
      </c>
      <c r="S251" t="b">
        <v>0</v>
      </c>
      <c r="T251">
        <v>13</v>
      </c>
      <c r="U251" t="s">
        <v>777</v>
      </c>
      <c r="V251" t="s">
        <v>778</v>
      </c>
      <c r="W251" t="b">
        <v>0</v>
      </c>
      <c r="X251">
        <v>14</v>
      </c>
      <c r="Y251" t="s">
        <v>779</v>
      </c>
      <c r="Z251" t="s">
        <v>780</v>
      </c>
      <c r="AA251" t="b">
        <v>0</v>
      </c>
      <c r="AB251" t="s">
        <v>1</v>
      </c>
      <c r="AC251" t="s">
        <v>1</v>
      </c>
      <c r="AD251" t="s">
        <v>1</v>
      </c>
      <c r="AE251" t="s">
        <v>1</v>
      </c>
      <c r="AF251" t="s">
        <v>1</v>
      </c>
      <c r="AG251" t="s">
        <v>1</v>
      </c>
      <c r="AH251" t="s">
        <v>1</v>
      </c>
      <c r="AI251" t="s">
        <v>1</v>
      </c>
      <c r="AJ251" t="s">
        <v>1</v>
      </c>
      <c r="AK251" t="s">
        <v>1</v>
      </c>
      <c r="AL251" t="s">
        <v>1</v>
      </c>
      <c r="AM251" t="s">
        <v>1</v>
      </c>
      <c r="AN251">
        <v>219</v>
      </c>
      <c r="AO251">
        <f t="shared" si="25"/>
        <v>219</v>
      </c>
      <c r="AP251">
        <f t="shared" si="26"/>
        <v>36</v>
      </c>
      <c r="AQ251">
        <f t="shared" si="27"/>
        <v>36</v>
      </c>
      <c r="AR251" s="26" t="s">
        <v>1355</v>
      </c>
      <c r="AS251" s="26" t="s">
        <v>1356</v>
      </c>
      <c r="AT251" t="s">
        <v>713</v>
      </c>
      <c r="AU251" t="s">
        <v>1</v>
      </c>
      <c r="AV251" t="s">
        <v>1</v>
      </c>
      <c r="AW251">
        <v>41.86</v>
      </c>
      <c r="AX251">
        <v>-72.66</v>
      </c>
      <c r="AY251" t="s">
        <v>737</v>
      </c>
      <c r="BA251" s="3">
        <v>2</v>
      </c>
      <c r="BB251" s="3"/>
      <c r="BC251" s="3"/>
      <c r="BD251" s="3"/>
      <c r="BE251" s="3"/>
      <c r="BF251">
        <v>1941</v>
      </c>
      <c r="BG251" s="24" t="s">
        <v>733</v>
      </c>
      <c r="BH251" s="24" t="s">
        <v>733</v>
      </c>
      <c r="BI251" s="24" t="s">
        <v>733</v>
      </c>
      <c r="BJ251" s="24" t="s">
        <v>732</v>
      </c>
      <c r="BK251" s="24" t="s">
        <v>733</v>
      </c>
      <c r="BL251" s="25" t="s">
        <v>733</v>
      </c>
      <c r="BM251" s="24" t="s">
        <v>733</v>
      </c>
      <c r="BN251" s="24" t="s">
        <v>732</v>
      </c>
      <c r="BO251" s="24" t="s">
        <v>733</v>
      </c>
      <c r="BP251" s="24" t="s">
        <v>733</v>
      </c>
      <c r="BQ251" s="24" t="s">
        <v>945</v>
      </c>
      <c r="BR251" s="24" t="s">
        <v>945</v>
      </c>
      <c r="BS251" s="25" t="s">
        <v>934</v>
      </c>
      <c r="BT251" s="24" t="s">
        <v>934</v>
      </c>
      <c r="BU251" s="24" t="s">
        <v>934</v>
      </c>
      <c r="BV251" s="24" t="s">
        <v>934</v>
      </c>
      <c r="BW251" s="24" t="s">
        <v>934</v>
      </c>
      <c r="BX251" s="24" t="s">
        <v>934</v>
      </c>
      <c r="BY251" s="25" t="s">
        <v>945</v>
      </c>
      <c r="BZ251" t="s">
        <v>1415</v>
      </c>
      <c r="CB251" t="s">
        <v>1416</v>
      </c>
      <c r="CC251" s="4">
        <f>38566*1.12085/10</f>
        <v>4322.67011</v>
      </c>
      <c r="CD251" s="4"/>
      <c r="CE251" s="4"/>
      <c r="CF251" t="s">
        <v>793</v>
      </c>
      <c r="CG251">
        <v>100</v>
      </c>
      <c r="CH251" t="s">
        <v>805</v>
      </c>
      <c r="CI251" s="28">
        <v>0.8</v>
      </c>
      <c r="CJ251" s="10" t="s">
        <v>1442</v>
      </c>
      <c r="CK251" s="9" t="s">
        <v>1</v>
      </c>
      <c r="CL251" s="4" t="s">
        <v>1</v>
      </c>
      <c r="CM251" t="s">
        <v>847</v>
      </c>
      <c r="CN251" s="4">
        <f>79.3*1.12085</f>
        <v>88.883404999999982</v>
      </c>
      <c r="CO251" s="4" t="s">
        <v>1</v>
      </c>
      <c r="CP251" s="4" t="s">
        <v>1</v>
      </c>
      <c r="CQ251" s="4" t="s">
        <v>1</v>
      </c>
      <c r="CR251" s="4" t="s">
        <v>1</v>
      </c>
      <c r="CS251" s="4" t="s">
        <v>1</v>
      </c>
      <c r="CT251" s="4" t="s">
        <v>1</v>
      </c>
      <c r="CU251" s="4" t="s">
        <v>1</v>
      </c>
      <c r="CV251" t="s">
        <v>855</v>
      </c>
      <c r="CW251">
        <v>100</v>
      </c>
      <c r="CX251">
        <v>0</v>
      </c>
      <c r="CY251">
        <v>30</v>
      </c>
      <c r="CZ251" s="26" t="s">
        <v>1358</v>
      </c>
      <c r="DA251" t="s">
        <v>734</v>
      </c>
      <c r="DB251">
        <v>76.2</v>
      </c>
      <c r="DC251">
        <v>0</v>
      </c>
      <c r="DD251">
        <v>30</v>
      </c>
      <c r="DE251" s="26" t="s">
        <v>1358</v>
      </c>
      <c r="DF251" t="s">
        <v>735</v>
      </c>
      <c r="DG251">
        <v>19.399999999999999</v>
      </c>
      <c r="DH251">
        <v>0</v>
      </c>
      <c r="DI251">
        <v>30</v>
      </c>
      <c r="DJ251" s="26" t="s">
        <v>1358</v>
      </c>
      <c r="DK251" t="s">
        <v>736</v>
      </c>
      <c r="DL251">
        <v>4.4000000000000004</v>
      </c>
      <c r="DM251">
        <v>0</v>
      </c>
      <c r="DN251">
        <v>30</v>
      </c>
      <c r="DO251" s="26" t="s">
        <v>1358</v>
      </c>
      <c r="DP251" t="s">
        <v>6</v>
      </c>
      <c r="DQ251" t="s">
        <v>1</v>
      </c>
      <c r="DR251">
        <v>6</v>
      </c>
      <c r="DS251">
        <v>0</v>
      </c>
      <c r="DT251">
        <v>30</v>
      </c>
      <c r="DU251" s="26" t="s">
        <v>1358</v>
      </c>
      <c r="EA251" t="s">
        <v>982</v>
      </c>
      <c r="EB251">
        <v>3.5</v>
      </c>
      <c r="EC251">
        <v>0</v>
      </c>
      <c r="ED251">
        <v>30</v>
      </c>
      <c r="EE251" s="26" t="s">
        <v>1358</v>
      </c>
      <c r="EF251" s="26"/>
      <c r="FZ251" t="s">
        <v>806</v>
      </c>
      <c r="GA251">
        <v>1054.5826</v>
      </c>
      <c r="GE251" s="26" t="s">
        <v>1358</v>
      </c>
      <c r="HA251" s="5" t="s">
        <v>1</v>
      </c>
      <c r="HB251" s="4" t="s">
        <v>1</v>
      </c>
      <c r="HC251" t="s">
        <v>1</v>
      </c>
      <c r="HD251" t="s">
        <v>1</v>
      </c>
      <c r="HE251" t="s">
        <v>1</v>
      </c>
      <c r="HF251" s="5" t="s">
        <v>1063</v>
      </c>
      <c r="HG251" s="4">
        <v>0.19331893333333333</v>
      </c>
      <c r="HH251">
        <v>0</v>
      </c>
      <c r="HI251">
        <v>30</v>
      </c>
      <c r="HJ251" s="26" t="s">
        <v>1358</v>
      </c>
      <c r="HK251" t="s">
        <v>1</v>
      </c>
      <c r="HL251" t="s">
        <v>1</v>
      </c>
      <c r="HM251" t="s">
        <v>1</v>
      </c>
      <c r="HN251" t="s">
        <v>1</v>
      </c>
      <c r="HO251" t="s">
        <v>1</v>
      </c>
      <c r="HP251" t="s">
        <v>1</v>
      </c>
      <c r="HZ251" t="s">
        <v>969</v>
      </c>
      <c r="IA251">
        <v>45</v>
      </c>
      <c r="IB251" s="10" t="s">
        <v>1</v>
      </c>
      <c r="IC251" s="10"/>
      <c r="ID251" s="10"/>
      <c r="IE251" s="10" t="s">
        <v>1</v>
      </c>
      <c r="IF251" s="10" t="s">
        <v>1</v>
      </c>
      <c r="IG251" s="10"/>
      <c r="IH251" s="10"/>
      <c r="II251" s="10"/>
      <c r="IJ251" s="10"/>
      <c r="IK251" s="10"/>
      <c r="IL251" s="10"/>
      <c r="IM251" s="10"/>
      <c r="IN251" s="10"/>
      <c r="IO251" s="10"/>
      <c r="IP251" s="10"/>
      <c r="IQ251" s="10"/>
      <c r="IR251" s="10"/>
      <c r="IS251" t="s">
        <v>978</v>
      </c>
      <c r="IT251">
        <v>179</v>
      </c>
      <c r="IW251" t="s">
        <v>1</v>
      </c>
      <c r="IX251" t="s">
        <v>1</v>
      </c>
      <c r="IY251" t="s">
        <v>808</v>
      </c>
      <c r="IZ251">
        <v>33.274000000000001</v>
      </c>
      <c r="JA251" t="s">
        <v>1065</v>
      </c>
      <c r="JB251" s="4">
        <f t="shared" si="35"/>
        <v>4.4833999999999996</v>
      </c>
      <c r="JC251" t="s">
        <v>1</v>
      </c>
      <c r="JD251" s="4" t="s">
        <v>1</v>
      </c>
      <c r="JE251" t="s">
        <v>1</v>
      </c>
      <c r="JF251" t="s">
        <v>1</v>
      </c>
      <c r="JR251" t="s">
        <v>1066</v>
      </c>
      <c r="JS251">
        <v>251.1</v>
      </c>
      <c r="JU251" t="s">
        <v>1</v>
      </c>
      <c r="JW251" t="s">
        <v>1</v>
      </c>
      <c r="JX251">
        <v>0</v>
      </c>
      <c r="JY251">
        <v>71.11999999999999</v>
      </c>
      <c r="JZ251" t="s">
        <v>796</v>
      </c>
      <c r="KA251" t="s">
        <v>198</v>
      </c>
      <c r="KB251" t="s">
        <v>738</v>
      </c>
      <c r="KC251" t="s">
        <v>1067</v>
      </c>
      <c r="KD251" s="1">
        <v>0.44833999999999996</v>
      </c>
      <c r="KE251" s="11" t="s">
        <v>1</v>
      </c>
      <c r="KF251" s="11" t="s">
        <v>1</v>
      </c>
      <c r="KG251">
        <v>0</v>
      </c>
      <c r="KH251">
        <v>71.11999999999999</v>
      </c>
      <c r="KI251" t="s">
        <v>796</v>
      </c>
      <c r="KJ251" t="s">
        <v>198</v>
      </c>
      <c r="KK251" t="s">
        <v>738</v>
      </c>
    </row>
    <row r="252" spans="1:297" x14ac:dyDescent="0.2">
      <c r="A252">
        <v>220</v>
      </c>
      <c r="B252" t="s">
        <v>705</v>
      </c>
      <c r="C252" t="s">
        <v>89</v>
      </c>
      <c r="D252" t="s">
        <v>260</v>
      </c>
      <c r="E252">
        <v>37</v>
      </c>
      <c r="F252" t="s">
        <v>261</v>
      </c>
      <c r="G252" t="s">
        <v>1</v>
      </c>
      <c r="H252" s="26" t="s">
        <v>1420</v>
      </c>
      <c r="I252" t="s">
        <v>1</v>
      </c>
      <c r="J252" t="s">
        <v>1</v>
      </c>
      <c r="K252" t="s">
        <v>1</v>
      </c>
      <c r="L252" t="s">
        <v>1</v>
      </c>
      <c r="M252" t="s">
        <v>1</v>
      </c>
      <c r="N252" t="s">
        <v>1</v>
      </c>
      <c r="O252" t="s">
        <v>1</v>
      </c>
      <c r="P252" t="s">
        <v>1</v>
      </c>
      <c r="Q252" t="s">
        <v>1</v>
      </c>
      <c r="R252" t="s">
        <v>1</v>
      </c>
      <c r="S252" t="s">
        <v>1</v>
      </c>
      <c r="T252" t="s">
        <v>1</v>
      </c>
      <c r="U252" t="s">
        <v>1</v>
      </c>
      <c r="V252" t="s">
        <v>1</v>
      </c>
      <c r="W252" t="s">
        <v>1</v>
      </c>
      <c r="X252" t="s">
        <v>1</v>
      </c>
      <c r="Y252" t="s">
        <v>1</v>
      </c>
      <c r="Z252" t="s">
        <v>1</v>
      </c>
      <c r="AA252" t="s">
        <v>1</v>
      </c>
      <c r="AB252" t="s">
        <v>1</v>
      </c>
      <c r="AC252" t="s">
        <v>1</v>
      </c>
      <c r="AD252" t="s">
        <v>1</v>
      </c>
      <c r="AE252" t="s">
        <v>1</v>
      </c>
      <c r="AF252" t="s">
        <v>1</v>
      </c>
      <c r="AG252" t="s">
        <v>1</v>
      </c>
      <c r="AH252" t="s">
        <v>1</v>
      </c>
      <c r="AI252" t="s">
        <v>1</v>
      </c>
      <c r="AJ252" t="s">
        <v>1</v>
      </c>
      <c r="AK252" t="s">
        <v>1</v>
      </c>
      <c r="AL252" t="s">
        <v>1</v>
      </c>
      <c r="AM252" t="s">
        <v>1</v>
      </c>
      <c r="AN252">
        <v>220</v>
      </c>
      <c r="AO252">
        <f t="shared" ref="AO252:AO315" si="36">AN252</f>
        <v>220</v>
      </c>
      <c r="AP252">
        <f t="shared" si="26"/>
        <v>37</v>
      </c>
      <c r="AQ252">
        <f t="shared" si="27"/>
        <v>37</v>
      </c>
      <c r="AR252" s="26" t="s">
        <v>1355</v>
      </c>
      <c r="AS252" s="26" t="s">
        <v>1356</v>
      </c>
      <c r="AT252" t="s">
        <v>720</v>
      </c>
      <c r="AU252" t="s">
        <v>1</v>
      </c>
      <c r="AV252" t="s">
        <v>1</v>
      </c>
      <c r="AW252">
        <v>-37.83</v>
      </c>
      <c r="AX252">
        <v>-58.31</v>
      </c>
      <c r="AY252" t="s">
        <v>737</v>
      </c>
      <c r="BA252" s="3">
        <v>4</v>
      </c>
      <c r="BB252" s="3"/>
      <c r="BC252" s="3"/>
      <c r="BD252" s="3"/>
      <c r="BE252" s="3"/>
      <c r="BF252">
        <v>2005</v>
      </c>
      <c r="BG252" s="24" t="s">
        <v>733</v>
      </c>
      <c r="BH252" s="24" t="s">
        <v>733</v>
      </c>
      <c r="BI252" s="24" t="s">
        <v>733</v>
      </c>
      <c r="BJ252" s="24" t="s">
        <v>732</v>
      </c>
      <c r="BK252" s="24" t="s">
        <v>733</v>
      </c>
      <c r="BL252" s="25" t="s">
        <v>733</v>
      </c>
      <c r="BM252" s="24" t="s">
        <v>733</v>
      </c>
      <c r="BN252" s="24" t="s">
        <v>732</v>
      </c>
      <c r="BO252" s="24" t="s">
        <v>733</v>
      </c>
      <c r="BP252" s="24" t="s">
        <v>733</v>
      </c>
      <c r="BQ252" s="24" t="s">
        <v>945</v>
      </c>
      <c r="BR252" s="24" t="s">
        <v>945</v>
      </c>
      <c r="BS252" s="25" t="s">
        <v>934</v>
      </c>
      <c r="BT252" s="24" t="s">
        <v>934</v>
      </c>
      <c r="BU252" s="24" t="s">
        <v>934</v>
      </c>
      <c r="BV252" s="24" t="s">
        <v>934</v>
      </c>
      <c r="BW252" s="24" t="s">
        <v>934</v>
      </c>
      <c r="BX252" s="24" t="s">
        <v>934</v>
      </c>
      <c r="BY252" s="25" t="s">
        <v>945</v>
      </c>
      <c r="BZ252" t="s">
        <v>5</v>
      </c>
      <c r="CB252" t="s">
        <v>1</v>
      </c>
      <c r="CC252" s="4">
        <f>4588*86%</f>
        <v>3945.68</v>
      </c>
      <c r="CD252" s="4"/>
      <c r="CE252" s="4"/>
      <c r="CF252" t="s">
        <v>793</v>
      </c>
      <c r="CG252">
        <v>100</v>
      </c>
      <c r="CH252" t="s">
        <v>805</v>
      </c>
      <c r="CI252" s="28">
        <v>1.6</v>
      </c>
      <c r="CJ252" s="10" t="s">
        <v>1442</v>
      </c>
      <c r="CK252" s="9" t="s">
        <v>1</v>
      </c>
      <c r="CL252" s="4" t="s">
        <v>1</v>
      </c>
      <c r="CM252" t="s">
        <v>847</v>
      </c>
      <c r="CN252" s="4">
        <f>AVERAGE(115,134,67,56,96)</f>
        <v>93.6</v>
      </c>
      <c r="CO252" s="4" t="s">
        <v>1</v>
      </c>
      <c r="CP252" s="4" t="s">
        <v>1</v>
      </c>
      <c r="CQ252" s="4" t="s">
        <v>1</v>
      </c>
      <c r="CR252" s="4" t="s">
        <v>1</v>
      </c>
      <c r="CS252" s="4" t="s">
        <v>1</v>
      </c>
      <c r="CT252" s="4" t="s">
        <v>1</v>
      </c>
      <c r="CU252" s="4" t="s">
        <v>1</v>
      </c>
      <c r="CV252" t="s">
        <v>850</v>
      </c>
      <c r="CW252">
        <v>100</v>
      </c>
      <c r="CX252" s="34">
        <v>0</v>
      </c>
      <c r="CY252" s="34">
        <v>30</v>
      </c>
      <c r="CZ252" s="26" t="s">
        <v>1358</v>
      </c>
      <c r="DA252" t="s">
        <v>734</v>
      </c>
      <c r="DB252" s="34">
        <f>27/1.01</f>
        <v>26.732673267326732</v>
      </c>
      <c r="DC252" s="34">
        <v>0</v>
      </c>
      <c r="DD252" s="34">
        <v>30</v>
      </c>
      <c r="DE252" s="26" t="s">
        <v>1358</v>
      </c>
      <c r="DF252" t="s">
        <v>735</v>
      </c>
      <c r="DG252" s="34">
        <f>46/1.01</f>
        <v>45.544554455445542</v>
      </c>
      <c r="DH252" s="34">
        <v>0</v>
      </c>
      <c r="DI252" s="34">
        <v>30</v>
      </c>
      <c r="DJ252" s="26" t="s">
        <v>1358</v>
      </c>
      <c r="DK252" t="s">
        <v>736</v>
      </c>
      <c r="DL252" s="34">
        <f>28/1.01</f>
        <v>27.722772277227723</v>
      </c>
      <c r="DM252" s="34">
        <v>0</v>
      </c>
      <c r="DN252" s="34">
        <v>30</v>
      </c>
      <c r="DO252" s="26" t="s">
        <v>1358</v>
      </c>
      <c r="DP252" t="s">
        <v>6</v>
      </c>
      <c r="DQ252" t="s">
        <v>1</v>
      </c>
      <c r="DR252">
        <v>5.6</v>
      </c>
      <c r="DS252" s="34">
        <v>0</v>
      </c>
      <c r="DT252" s="34">
        <v>30</v>
      </c>
      <c r="DU252" s="26" t="s">
        <v>1358</v>
      </c>
      <c r="DX252" s="34"/>
      <c r="DY252" s="34"/>
      <c r="DZ252" s="34"/>
      <c r="EA252" t="s">
        <v>982</v>
      </c>
      <c r="EB252">
        <v>38</v>
      </c>
      <c r="EC252" s="34">
        <v>0</v>
      </c>
      <c r="ED252" s="34">
        <v>30</v>
      </c>
      <c r="EE252" s="26" t="s">
        <v>1358</v>
      </c>
      <c r="EF252" s="26"/>
      <c r="EI252" s="34"/>
      <c r="EJ252" s="34"/>
      <c r="EK252" s="34"/>
      <c r="EL252" s="34"/>
      <c r="EM252" s="34"/>
      <c r="EN252" s="34"/>
      <c r="EO252" s="34"/>
      <c r="EP252" s="34"/>
      <c r="EQ252" s="34"/>
      <c r="ER252" s="34"/>
      <c r="ES252" s="34"/>
      <c r="ET252" s="34"/>
      <c r="EU252" s="34"/>
      <c r="EV252" s="34"/>
      <c r="EW252" s="34"/>
      <c r="EX252" s="34"/>
      <c r="EY252" s="34"/>
      <c r="EZ252" s="34"/>
      <c r="FA252" s="34"/>
      <c r="FB252" s="34"/>
      <c r="FC252" s="34"/>
      <c r="FD252" s="34"/>
      <c r="FE252" s="34"/>
      <c r="FF252" s="34"/>
      <c r="FG252" s="34"/>
      <c r="FH252" s="34"/>
      <c r="FI252" s="34"/>
      <c r="FJ252" s="34"/>
      <c r="FK252" s="34"/>
      <c r="FL252" s="34"/>
      <c r="FM252" s="34"/>
      <c r="FN252" s="34"/>
      <c r="FO252" s="34"/>
      <c r="FP252" s="34"/>
      <c r="FQ252" s="34"/>
      <c r="FR252" s="34"/>
      <c r="FS252" s="34"/>
      <c r="FT252" s="34"/>
      <c r="FU252" s="34"/>
      <c r="FV252" s="34"/>
      <c r="FW252" s="34"/>
      <c r="FX252" s="34"/>
      <c r="FY252" s="34"/>
      <c r="FZ252" t="s">
        <v>806</v>
      </c>
      <c r="GA252">
        <v>952</v>
      </c>
      <c r="GE252" s="26" t="s">
        <v>1358</v>
      </c>
      <c r="HA252" s="5" t="s">
        <v>1069</v>
      </c>
      <c r="HB252" s="4">
        <v>30</v>
      </c>
      <c r="HC252" s="34">
        <v>0</v>
      </c>
      <c r="HD252" s="34">
        <v>30</v>
      </c>
      <c r="HE252" s="26" t="s">
        <v>1358</v>
      </c>
      <c r="HF252" s="5" t="s">
        <v>1</v>
      </c>
      <c r="HG252" s="4" t="s">
        <v>1</v>
      </c>
      <c r="HH252" t="s">
        <v>1</v>
      </c>
      <c r="HI252" t="s">
        <v>1</v>
      </c>
      <c r="HJ252" t="s">
        <v>1</v>
      </c>
      <c r="HK252" t="s">
        <v>1</v>
      </c>
      <c r="HL252" t="s">
        <v>1</v>
      </c>
      <c r="HM252" t="s">
        <v>1</v>
      </c>
      <c r="HN252" t="s">
        <v>1</v>
      </c>
      <c r="HO252" t="s">
        <v>1</v>
      </c>
      <c r="HP252" t="s">
        <v>1</v>
      </c>
      <c r="HZ252" t="s">
        <v>1</v>
      </c>
      <c r="IA252" t="s">
        <v>1</v>
      </c>
      <c r="IB252" s="10" t="s">
        <v>1</v>
      </c>
      <c r="IC252" s="10"/>
      <c r="ID252" s="10"/>
      <c r="IE252" s="10" t="s">
        <v>1</v>
      </c>
      <c r="IF252" s="10" t="s">
        <v>1</v>
      </c>
      <c r="IG252" s="10"/>
      <c r="IH252" s="10"/>
      <c r="II252" s="10"/>
      <c r="IJ252" s="10"/>
      <c r="IK252" s="10"/>
      <c r="IL252" s="10"/>
      <c r="IM252" s="10"/>
      <c r="IN252" s="10"/>
      <c r="IO252" s="10"/>
      <c r="IP252" s="10"/>
      <c r="IQ252" s="10"/>
      <c r="IR252" s="10"/>
      <c r="IS252" t="s">
        <v>1</v>
      </c>
      <c r="IT252" t="s">
        <v>1</v>
      </c>
      <c r="IW252" t="s">
        <v>1</v>
      </c>
      <c r="IX252" t="s">
        <v>1</v>
      </c>
      <c r="IY252" t="s">
        <v>1</v>
      </c>
      <c r="IZ252" t="s">
        <v>1</v>
      </c>
      <c r="JA252" t="s">
        <v>1</v>
      </c>
      <c r="JB252" s="3" t="s">
        <v>1</v>
      </c>
      <c r="JC252" t="s">
        <v>1</v>
      </c>
      <c r="JD252" s="4" t="s">
        <v>1</v>
      </c>
      <c r="JE252" t="s">
        <v>811</v>
      </c>
      <c r="JF252">
        <v>100</v>
      </c>
      <c r="JR252" t="s">
        <v>1066</v>
      </c>
      <c r="JS252">
        <v>75.3</v>
      </c>
      <c r="JU252" t="s">
        <v>1</v>
      </c>
      <c r="JW252" t="s">
        <v>1</v>
      </c>
      <c r="JX252">
        <v>0</v>
      </c>
      <c r="JY252">
        <v>100</v>
      </c>
      <c r="JZ252" t="s">
        <v>800</v>
      </c>
      <c r="KA252" t="s">
        <v>262</v>
      </c>
      <c r="KB252" t="s">
        <v>738</v>
      </c>
      <c r="KC252" t="s">
        <v>1</v>
      </c>
      <c r="KD252" t="s">
        <v>1</v>
      </c>
      <c r="KE252" t="s">
        <v>1</v>
      </c>
      <c r="KF252" t="s">
        <v>1</v>
      </c>
      <c r="KG252" t="s">
        <v>1</v>
      </c>
      <c r="KH252" t="s">
        <v>1</v>
      </c>
      <c r="KI252" t="s">
        <v>1</v>
      </c>
      <c r="KJ252" t="s">
        <v>1</v>
      </c>
      <c r="KK252" t="s">
        <v>1</v>
      </c>
    </row>
    <row r="253" spans="1:297" x14ac:dyDescent="0.2">
      <c r="A253">
        <v>221</v>
      </c>
      <c r="B253" t="s">
        <v>705</v>
      </c>
      <c r="C253" t="s">
        <v>17</v>
      </c>
      <c r="D253" t="s">
        <v>260</v>
      </c>
      <c r="E253">
        <v>37</v>
      </c>
      <c r="F253" t="s">
        <v>261</v>
      </c>
      <c r="G253" t="s">
        <v>1</v>
      </c>
      <c r="H253" s="26" t="s">
        <v>1420</v>
      </c>
      <c r="I253" t="s">
        <v>1</v>
      </c>
      <c r="J253" t="s">
        <v>1</v>
      </c>
      <c r="K253" t="s">
        <v>1</v>
      </c>
      <c r="L253" t="s">
        <v>1</v>
      </c>
      <c r="M253" t="s">
        <v>1</v>
      </c>
      <c r="N253" t="s">
        <v>1</v>
      </c>
      <c r="O253" t="s">
        <v>1</v>
      </c>
      <c r="P253" t="s">
        <v>1</v>
      </c>
      <c r="Q253" t="s">
        <v>1</v>
      </c>
      <c r="R253" t="s">
        <v>1</v>
      </c>
      <c r="S253" t="s">
        <v>1</v>
      </c>
      <c r="T253" t="s">
        <v>1</v>
      </c>
      <c r="U253" t="s">
        <v>1</v>
      </c>
      <c r="V253" t="s">
        <v>1</v>
      </c>
      <c r="W253" t="s">
        <v>1</v>
      </c>
      <c r="X253" t="s">
        <v>1</v>
      </c>
      <c r="Y253" t="s">
        <v>1</v>
      </c>
      <c r="Z253" t="s">
        <v>1</v>
      </c>
      <c r="AA253" t="s">
        <v>1</v>
      </c>
      <c r="AB253" t="s">
        <v>1</v>
      </c>
      <c r="AC253" t="s">
        <v>1</v>
      </c>
      <c r="AD253" t="s">
        <v>1</v>
      </c>
      <c r="AE253" t="s">
        <v>1</v>
      </c>
      <c r="AF253" t="s">
        <v>1</v>
      </c>
      <c r="AG253" t="s">
        <v>1</v>
      </c>
      <c r="AH253" t="s">
        <v>1</v>
      </c>
      <c r="AI253" t="s">
        <v>1</v>
      </c>
      <c r="AJ253" t="s">
        <v>1</v>
      </c>
      <c r="AK253" t="s">
        <v>1</v>
      </c>
      <c r="AL253" t="s">
        <v>1</v>
      </c>
      <c r="AM253" t="s">
        <v>1</v>
      </c>
      <c r="AN253">
        <v>221</v>
      </c>
      <c r="AO253">
        <f t="shared" si="36"/>
        <v>221</v>
      </c>
      <c r="AP253">
        <f t="shared" si="26"/>
        <v>37</v>
      </c>
      <c r="AQ253">
        <f t="shared" si="27"/>
        <v>37</v>
      </c>
      <c r="AR253" s="26" t="s">
        <v>1355</v>
      </c>
      <c r="AS253" s="26" t="s">
        <v>1356</v>
      </c>
      <c r="AT253" t="s">
        <v>720</v>
      </c>
      <c r="AU253" t="s">
        <v>1</v>
      </c>
      <c r="AV253" t="s">
        <v>1</v>
      </c>
      <c r="AW253">
        <v>-37.83</v>
      </c>
      <c r="AX253">
        <v>-58.31</v>
      </c>
      <c r="AY253" t="s">
        <v>737</v>
      </c>
      <c r="BA253" s="3">
        <v>4</v>
      </c>
      <c r="BB253" s="3"/>
      <c r="BC253" s="3"/>
      <c r="BD253" s="3"/>
      <c r="BE253" s="3"/>
      <c r="BF253">
        <v>2005</v>
      </c>
      <c r="BG253" s="24" t="s">
        <v>733</v>
      </c>
      <c r="BH253" s="24" t="s">
        <v>733</v>
      </c>
      <c r="BI253" s="24" t="s">
        <v>733</v>
      </c>
      <c r="BJ253" s="24" t="s">
        <v>732</v>
      </c>
      <c r="BK253" s="24" t="s">
        <v>733</v>
      </c>
      <c r="BL253" s="25" t="s">
        <v>733</v>
      </c>
      <c r="BM253" s="24" t="s">
        <v>733</v>
      </c>
      <c r="BN253" s="24" t="s">
        <v>732</v>
      </c>
      <c r="BO253" s="24" t="s">
        <v>733</v>
      </c>
      <c r="BP253" s="24" t="s">
        <v>733</v>
      </c>
      <c r="BQ253" s="24" t="s">
        <v>945</v>
      </c>
      <c r="BR253" s="24" t="s">
        <v>945</v>
      </c>
      <c r="BS253" s="25" t="s">
        <v>934</v>
      </c>
      <c r="BT253" s="24" t="s">
        <v>934</v>
      </c>
      <c r="BU253" s="24" t="s">
        <v>934</v>
      </c>
      <c r="BV253" s="24" t="s">
        <v>934</v>
      </c>
      <c r="BW253" s="24" t="s">
        <v>934</v>
      </c>
      <c r="BX253" s="24" t="s">
        <v>934</v>
      </c>
      <c r="BY253" s="25" t="s">
        <v>945</v>
      </c>
      <c r="BZ253" t="s">
        <v>5</v>
      </c>
      <c r="CB253" t="s">
        <v>1</v>
      </c>
      <c r="CC253" s="4">
        <f>5887*86%</f>
        <v>5062.82</v>
      </c>
      <c r="CD253" s="4"/>
      <c r="CE253" s="4"/>
      <c r="CF253" t="s">
        <v>793</v>
      </c>
      <c r="CG253">
        <v>100</v>
      </c>
      <c r="CH253" t="s">
        <v>805</v>
      </c>
      <c r="CI253" s="28">
        <v>1.6</v>
      </c>
      <c r="CJ253" s="10" t="s">
        <v>1442</v>
      </c>
      <c r="CK253" s="9" t="s">
        <v>1</v>
      </c>
      <c r="CL253" s="4" t="s">
        <v>1</v>
      </c>
      <c r="CM253" t="s">
        <v>847</v>
      </c>
      <c r="CN253" s="4">
        <f>AVERAGE(199,155,87,61,113)</f>
        <v>123</v>
      </c>
      <c r="CO253" s="4" t="s">
        <v>1</v>
      </c>
      <c r="CP253" s="4" t="s">
        <v>1</v>
      </c>
      <c r="CQ253" s="4" t="s">
        <v>1</v>
      </c>
      <c r="CR253" s="4" t="s">
        <v>1</v>
      </c>
      <c r="CS253" s="4" t="s">
        <v>1</v>
      </c>
      <c r="CT253" s="4" t="s">
        <v>1</v>
      </c>
      <c r="CU253" s="4" t="s">
        <v>1</v>
      </c>
      <c r="CV253" t="s">
        <v>850</v>
      </c>
      <c r="CW253">
        <v>100</v>
      </c>
      <c r="CX253" s="34">
        <v>0</v>
      </c>
      <c r="CY253" s="34">
        <v>30</v>
      </c>
      <c r="CZ253" s="26" t="s">
        <v>1358</v>
      </c>
      <c r="DA253" t="s">
        <v>734</v>
      </c>
      <c r="DB253" s="34">
        <f t="shared" ref="DB253:DB254" si="37">27/1.01</f>
        <v>26.732673267326732</v>
      </c>
      <c r="DC253" s="34">
        <v>0</v>
      </c>
      <c r="DD253" s="34">
        <v>30</v>
      </c>
      <c r="DE253" s="26" t="s">
        <v>1358</v>
      </c>
      <c r="DF253" t="s">
        <v>735</v>
      </c>
      <c r="DG253" s="34">
        <f t="shared" ref="DG253:DG254" si="38">46/1.01</f>
        <v>45.544554455445542</v>
      </c>
      <c r="DH253" s="34">
        <v>0</v>
      </c>
      <c r="DI253" s="34">
        <v>30</v>
      </c>
      <c r="DJ253" s="26" t="s">
        <v>1358</v>
      </c>
      <c r="DK253" t="s">
        <v>736</v>
      </c>
      <c r="DL253" s="34">
        <f t="shared" ref="DL253:DL254" si="39">28/1.01</f>
        <v>27.722772277227723</v>
      </c>
      <c r="DM253" s="34">
        <v>0</v>
      </c>
      <c r="DN253" s="34">
        <v>30</v>
      </c>
      <c r="DO253" s="26" t="s">
        <v>1358</v>
      </c>
      <c r="DP253" t="s">
        <v>6</v>
      </c>
      <c r="DQ253" t="s">
        <v>1</v>
      </c>
      <c r="DR253">
        <v>5.6</v>
      </c>
      <c r="DS253" s="34">
        <v>0</v>
      </c>
      <c r="DT253" s="34">
        <v>30</v>
      </c>
      <c r="DU253" s="26" t="s">
        <v>1358</v>
      </c>
      <c r="DX253" s="34"/>
      <c r="DY253" s="34"/>
      <c r="DZ253" s="34"/>
      <c r="EA253" t="s">
        <v>982</v>
      </c>
      <c r="EB253">
        <v>38</v>
      </c>
      <c r="EC253" s="34">
        <v>0</v>
      </c>
      <c r="ED253" s="34">
        <v>30</v>
      </c>
      <c r="EE253" s="26" t="s">
        <v>1358</v>
      </c>
      <c r="EF253" s="26"/>
      <c r="EI253" s="34"/>
      <c r="EJ253" s="34"/>
      <c r="EK253" s="34"/>
      <c r="EL253" s="34"/>
      <c r="EM253" s="34"/>
      <c r="EN253" s="34"/>
      <c r="EO253" s="34"/>
      <c r="EP253" s="34"/>
      <c r="EQ253" s="34"/>
      <c r="ER253" s="34"/>
      <c r="ES253" s="34"/>
      <c r="ET253" s="34"/>
      <c r="EU253" s="34"/>
      <c r="EV253" s="34"/>
      <c r="EW253" s="34"/>
      <c r="EX253" s="34"/>
      <c r="EY253" s="34"/>
      <c r="EZ253" s="34"/>
      <c r="FA253" s="34"/>
      <c r="FB253" s="34"/>
      <c r="FC253" s="34"/>
      <c r="FD253" s="34"/>
      <c r="FE253" s="34"/>
      <c r="FF253" s="34"/>
      <c r="FG253" s="34"/>
      <c r="FH253" s="34"/>
      <c r="FI253" s="34"/>
      <c r="FJ253" s="34"/>
      <c r="FK253" s="34"/>
      <c r="FL253" s="34"/>
      <c r="FM253" s="34"/>
      <c r="FN253" s="34"/>
      <c r="FO253" s="34"/>
      <c r="FP253" s="34"/>
      <c r="FQ253" s="34"/>
      <c r="FR253" s="34"/>
      <c r="FS253" s="34"/>
      <c r="FT253" s="34"/>
      <c r="FU253" s="34"/>
      <c r="FV253" s="34"/>
      <c r="FW253" s="34"/>
      <c r="FX253" s="34"/>
      <c r="FY253" s="34"/>
      <c r="FZ253" t="s">
        <v>806</v>
      </c>
      <c r="GA253">
        <v>952</v>
      </c>
      <c r="GE253" s="26" t="s">
        <v>1358</v>
      </c>
      <c r="HA253" s="5" t="s">
        <v>1069</v>
      </c>
      <c r="HB253" s="4">
        <v>30</v>
      </c>
      <c r="HC253" s="34">
        <v>0</v>
      </c>
      <c r="HD253" s="34">
        <v>30</v>
      </c>
      <c r="HE253" s="26" t="s">
        <v>1358</v>
      </c>
      <c r="HF253" s="5" t="s">
        <v>1</v>
      </c>
      <c r="HG253" s="4" t="s">
        <v>1</v>
      </c>
      <c r="HH253" t="s">
        <v>1</v>
      </c>
      <c r="HI253" t="s">
        <v>1</v>
      </c>
      <c r="HJ253" t="s">
        <v>1</v>
      </c>
      <c r="HK253" t="s">
        <v>1</v>
      </c>
      <c r="HL253" t="s">
        <v>1</v>
      </c>
      <c r="HM253" t="s">
        <v>1</v>
      </c>
      <c r="HN253" t="s">
        <v>1</v>
      </c>
      <c r="HO253" t="s">
        <v>1</v>
      </c>
      <c r="HP253" t="s">
        <v>1</v>
      </c>
      <c r="HZ253" t="s">
        <v>971</v>
      </c>
      <c r="IA253">
        <v>100</v>
      </c>
      <c r="IB253" s="10" t="s">
        <v>1</v>
      </c>
      <c r="IC253" s="10"/>
      <c r="ID253" s="10"/>
      <c r="IE253" s="10" t="s">
        <v>1</v>
      </c>
      <c r="IF253" s="10" t="s">
        <v>1</v>
      </c>
      <c r="IG253" s="10"/>
      <c r="IH253" s="10"/>
      <c r="II253" s="10"/>
      <c r="IJ253" s="10"/>
      <c r="IK253" s="10"/>
      <c r="IL253" s="10"/>
      <c r="IM253" s="10"/>
      <c r="IN253" s="10"/>
      <c r="IO253" s="10"/>
      <c r="IP253" s="10"/>
      <c r="IQ253" s="10"/>
      <c r="IR253" s="10"/>
      <c r="IS253" t="s">
        <v>1</v>
      </c>
      <c r="IT253" t="s">
        <v>1</v>
      </c>
      <c r="IW253" t="s">
        <v>1</v>
      </c>
      <c r="IX253" t="s">
        <v>1</v>
      </c>
      <c r="IY253" t="s">
        <v>1</v>
      </c>
      <c r="IZ253" t="s">
        <v>1</v>
      </c>
      <c r="JA253" t="s">
        <v>1</v>
      </c>
      <c r="JB253" s="3" t="s">
        <v>1</v>
      </c>
      <c r="JC253" t="s">
        <v>1</v>
      </c>
      <c r="JD253" s="4" t="s">
        <v>1</v>
      </c>
      <c r="JE253" t="s">
        <v>811</v>
      </c>
      <c r="JF253">
        <v>100</v>
      </c>
      <c r="JR253" t="s">
        <v>1066</v>
      </c>
      <c r="JS253">
        <v>123.9</v>
      </c>
      <c r="JU253" t="s">
        <v>1</v>
      </c>
      <c r="JW253" t="s">
        <v>1</v>
      </c>
      <c r="JX253">
        <v>0</v>
      </c>
      <c r="JY253">
        <v>100</v>
      </c>
      <c r="JZ253" t="s">
        <v>800</v>
      </c>
      <c r="KA253" t="s">
        <v>262</v>
      </c>
      <c r="KB253" t="s">
        <v>738</v>
      </c>
      <c r="KC253" t="s">
        <v>1</v>
      </c>
      <c r="KD253" t="s">
        <v>1</v>
      </c>
      <c r="KE253" t="s">
        <v>1</v>
      </c>
      <c r="KF253" t="s">
        <v>1</v>
      </c>
      <c r="KG253" t="s">
        <v>1</v>
      </c>
      <c r="KH253" t="s">
        <v>1</v>
      </c>
      <c r="KI253" t="s">
        <v>1</v>
      </c>
      <c r="KJ253" t="s">
        <v>1</v>
      </c>
      <c r="KK253" t="s">
        <v>1</v>
      </c>
    </row>
    <row r="254" spans="1:297" x14ac:dyDescent="0.2">
      <c r="A254">
        <v>222</v>
      </c>
      <c r="B254" t="s">
        <v>705</v>
      </c>
      <c r="C254" t="s">
        <v>263</v>
      </c>
      <c r="D254" t="s">
        <v>260</v>
      </c>
      <c r="E254">
        <v>37</v>
      </c>
      <c r="F254" t="s">
        <v>261</v>
      </c>
      <c r="G254" t="s">
        <v>1</v>
      </c>
      <c r="H254" s="26" t="s">
        <v>1420</v>
      </c>
      <c r="I254" t="s">
        <v>1</v>
      </c>
      <c r="J254" t="s">
        <v>1</v>
      </c>
      <c r="K254" t="s">
        <v>1</v>
      </c>
      <c r="L254" t="s">
        <v>1</v>
      </c>
      <c r="M254" t="s">
        <v>1</v>
      </c>
      <c r="N254" t="s">
        <v>1</v>
      </c>
      <c r="O254" t="s">
        <v>1</v>
      </c>
      <c r="P254" t="s">
        <v>1</v>
      </c>
      <c r="Q254" t="s">
        <v>1</v>
      </c>
      <c r="R254" t="s">
        <v>1</v>
      </c>
      <c r="S254" t="s">
        <v>1</v>
      </c>
      <c r="T254" t="s">
        <v>1</v>
      </c>
      <c r="U254" t="s">
        <v>1</v>
      </c>
      <c r="V254" t="s">
        <v>1</v>
      </c>
      <c r="W254" t="s">
        <v>1</v>
      </c>
      <c r="X254" t="s">
        <v>1</v>
      </c>
      <c r="Y254" t="s">
        <v>1</v>
      </c>
      <c r="Z254" t="s">
        <v>1</v>
      </c>
      <c r="AA254" t="s">
        <v>1</v>
      </c>
      <c r="AB254" t="s">
        <v>1</v>
      </c>
      <c r="AC254" t="s">
        <v>1</v>
      </c>
      <c r="AD254" t="s">
        <v>1</v>
      </c>
      <c r="AE254" t="s">
        <v>1</v>
      </c>
      <c r="AF254" t="s">
        <v>1</v>
      </c>
      <c r="AG254" t="s">
        <v>1</v>
      </c>
      <c r="AH254" t="s">
        <v>1</v>
      </c>
      <c r="AI254" t="s">
        <v>1</v>
      </c>
      <c r="AJ254" t="s">
        <v>1</v>
      </c>
      <c r="AK254" t="s">
        <v>1</v>
      </c>
      <c r="AL254" t="s">
        <v>1</v>
      </c>
      <c r="AM254" t="s">
        <v>1</v>
      </c>
      <c r="AN254">
        <v>222</v>
      </c>
      <c r="AO254">
        <f t="shared" si="36"/>
        <v>222</v>
      </c>
      <c r="AP254">
        <f t="shared" si="26"/>
        <v>37</v>
      </c>
      <c r="AQ254">
        <f t="shared" si="27"/>
        <v>37</v>
      </c>
      <c r="AR254" s="26" t="s">
        <v>1355</v>
      </c>
      <c r="AS254" s="26" t="s">
        <v>1356</v>
      </c>
      <c r="AT254" t="s">
        <v>720</v>
      </c>
      <c r="AU254" t="s">
        <v>1</v>
      </c>
      <c r="AV254" t="s">
        <v>1</v>
      </c>
      <c r="AW254">
        <v>-37.83</v>
      </c>
      <c r="AX254">
        <v>-58.31</v>
      </c>
      <c r="AY254" t="s">
        <v>737</v>
      </c>
      <c r="BA254" s="3">
        <v>4</v>
      </c>
      <c r="BB254" s="3"/>
      <c r="BC254" s="3"/>
      <c r="BD254" s="3"/>
      <c r="BE254" s="3"/>
      <c r="BF254">
        <v>2005</v>
      </c>
      <c r="BG254" s="24" t="s">
        <v>733</v>
      </c>
      <c r="BH254" s="24" t="s">
        <v>733</v>
      </c>
      <c r="BI254" s="24" t="s">
        <v>733</v>
      </c>
      <c r="BJ254" s="24" t="s">
        <v>732</v>
      </c>
      <c r="BK254" s="24" t="s">
        <v>733</v>
      </c>
      <c r="BL254" s="25" t="s">
        <v>733</v>
      </c>
      <c r="BM254" s="24" t="s">
        <v>733</v>
      </c>
      <c r="BN254" s="24" t="s">
        <v>732</v>
      </c>
      <c r="BO254" s="24" t="s">
        <v>733</v>
      </c>
      <c r="BP254" s="24" t="s">
        <v>733</v>
      </c>
      <c r="BQ254" s="24" t="s">
        <v>945</v>
      </c>
      <c r="BR254" s="24" t="s">
        <v>945</v>
      </c>
      <c r="BS254" s="25" t="s">
        <v>934</v>
      </c>
      <c r="BT254" s="24" t="s">
        <v>934</v>
      </c>
      <c r="BU254" s="24" t="s">
        <v>934</v>
      </c>
      <c r="BV254" s="24" t="s">
        <v>934</v>
      </c>
      <c r="BW254" s="24" t="s">
        <v>934</v>
      </c>
      <c r="BX254" s="24" t="s">
        <v>934</v>
      </c>
      <c r="BY254" s="25" t="s">
        <v>945</v>
      </c>
      <c r="BZ254" t="s">
        <v>5</v>
      </c>
      <c r="CB254" t="s">
        <v>1</v>
      </c>
      <c r="CC254" s="4">
        <f>7186*86%</f>
        <v>6179.96</v>
      </c>
      <c r="CD254" s="4"/>
      <c r="CE254" s="4"/>
      <c r="CF254" t="s">
        <v>793</v>
      </c>
      <c r="CG254">
        <v>100</v>
      </c>
      <c r="CH254" t="s">
        <v>805</v>
      </c>
      <c r="CI254" s="28">
        <v>1.6</v>
      </c>
      <c r="CJ254" s="10" t="s">
        <v>1442</v>
      </c>
      <c r="CK254" s="9" t="s">
        <v>1</v>
      </c>
      <c r="CL254" s="4" t="s">
        <v>1</v>
      </c>
      <c r="CM254" t="s">
        <v>847</v>
      </c>
      <c r="CN254" s="4">
        <f>AVERAGE(253,227,151,98,143)</f>
        <v>174.4</v>
      </c>
      <c r="CO254" s="4" t="s">
        <v>1</v>
      </c>
      <c r="CP254" s="4" t="s">
        <v>1</v>
      </c>
      <c r="CQ254" s="4" t="s">
        <v>1</v>
      </c>
      <c r="CR254" s="4" t="s">
        <v>1</v>
      </c>
      <c r="CS254" s="4" t="s">
        <v>1</v>
      </c>
      <c r="CT254" s="4" t="s">
        <v>1</v>
      </c>
      <c r="CU254" s="4" t="s">
        <v>1</v>
      </c>
      <c r="CV254" t="s">
        <v>850</v>
      </c>
      <c r="CW254">
        <v>100</v>
      </c>
      <c r="CX254" s="34">
        <v>0</v>
      </c>
      <c r="CY254" s="34">
        <v>30</v>
      </c>
      <c r="CZ254" s="26" t="s">
        <v>1358</v>
      </c>
      <c r="DA254" t="s">
        <v>734</v>
      </c>
      <c r="DB254" s="34">
        <f t="shared" si="37"/>
        <v>26.732673267326732</v>
      </c>
      <c r="DC254" s="34">
        <v>0</v>
      </c>
      <c r="DD254" s="34">
        <v>30</v>
      </c>
      <c r="DE254" s="26" t="s">
        <v>1358</v>
      </c>
      <c r="DF254" t="s">
        <v>735</v>
      </c>
      <c r="DG254" s="34">
        <f t="shared" si="38"/>
        <v>45.544554455445542</v>
      </c>
      <c r="DH254" s="34">
        <v>0</v>
      </c>
      <c r="DI254" s="34">
        <v>30</v>
      </c>
      <c r="DJ254" s="26" t="s">
        <v>1358</v>
      </c>
      <c r="DK254" t="s">
        <v>736</v>
      </c>
      <c r="DL254" s="34">
        <f t="shared" si="39"/>
        <v>27.722772277227723</v>
      </c>
      <c r="DM254" s="34">
        <v>0</v>
      </c>
      <c r="DN254" s="34">
        <v>30</v>
      </c>
      <c r="DO254" s="26" t="s">
        <v>1358</v>
      </c>
      <c r="DP254" t="s">
        <v>6</v>
      </c>
      <c r="DQ254" t="s">
        <v>1</v>
      </c>
      <c r="DR254">
        <v>5.6</v>
      </c>
      <c r="DS254" s="34">
        <v>0</v>
      </c>
      <c r="DT254" s="34">
        <v>30</v>
      </c>
      <c r="DU254" s="26" t="s">
        <v>1358</v>
      </c>
      <c r="DX254" s="34"/>
      <c r="DY254" s="34"/>
      <c r="DZ254" s="34"/>
      <c r="EA254" t="s">
        <v>982</v>
      </c>
      <c r="EB254">
        <v>38</v>
      </c>
      <c r="EC254" s="34">
        <v>0</v>
      </c>
      <c r="ED254" s="34">
        <v>30</v>
      </c>
      <c r="EE254" s="26" t="s">
        <v>1358</v>
      </c>
      <c r="EF254" s="26"/>
      <c r="EI254" s="34"/>
      <c r="EJ254" s="34"/>
      <c r="EK254" s="34"/>
      <c r="EL254" s="34"/>
      <c r="EM254" s="34"/>
      <c r="EN254" s="34"/>
      <c r="EO254" s="34"/>
      <c r="EP254" s="34"/>
      <c r="EQ254" s="34"/>
      <c r="ER254" s="34"/>
      <c r="ES254" s="34"/>
      <c r="ET254" s="34"/>
      <c r="EU254" s="34"/>
      <c r="EV254" s="34"/>
      <c r="EW254" s="34"/>
      <c r="EX254" s="34"/>
      <c r="EY254" s="34"/>
      <c r="EZ254" s="34"/>
      <c r="FA254" s="34"/>
      <c r="FB254" s="34"/>
      <c r="FC254" s="34"/>
      <c r="FD254" s="34"/>
      <c r="FE254" s="34"/>
      <c r="FF254" s="34"/>
      <c r="FG254" s="34"/>
      <c r="FH254" s="34"/>
      <c r="FI254" s="34"/>
      <c r="FJ254" s="34"/>
      <c r="FK254" s="34"/>
      <c r="FL254" s="34"/>
      <c r="FM254" s="34"/>
      <c r="FN254" s="34"/>
      <c r="FO254" s="34"/>
      <c r="FP254" s="34"/>
      <c r="FQ254" s="34"/>
      <c r="FR254" s="34"/>
      <c r="FS254" s="34"/>
      <c r="FT254" s="34"/>
      <c r="FU254" s="34"/>
      <c r="FV254" s="34"/>
      <c r="FW254" s="34"/>
      <c r="FX254" s="34"/>
      <c r="FY254" s="34"/>
      <c r="FZ254" t="s">
        <v>806</v>
      </c>
      <c r="GA254">
        <v>952</v>
      </c>
      <c r="GE254" s="26" t="s">
        <v>1358</v>
      </c>
      <c r="HA254" s="5" t="s">
        <v>1069</v>
      </c>
      <c r="HB254" s="4">
        <v>30</v>
      </c>
      <c r="HC254" s="34">
        <v>0</v>
      </c>
      <c r="HD254" s="34">
        <v>30</v>
      </c>
      <c r="HE254" s="26" t="s">
        <v>1358</v>
      </c>
      <c r="HF254" s="5" t="s">
        <v>1</v>
      </c>
      <c r="HG254" s="4" t="s">
        <v>1</v>
      </c>
      <c r="HH254" t="s">
        <v>1</v>
      </c>
      <c r="HI254" t="s">
        <v>1</v>
      </c>
      <c r="HJ254" t="s">
        <v>1</v>
      </c>
      <c r="HK254" t="s">
        <v>1</v>
      </c>
      <c r="HL254" t="s">
        <v>1</v>
      </c>
      <c r="HM254" t="s">
        <v>1</v>
      </c>
      <c r="HN254" t="s">
        <v>1</v>
      </c>
      <c r="HO254" t="s">
        <v>1</v>
      </c>
      <c r="HP254" t="s">
        <v>1</v>
      </c>
      <c r="HZ254" t="s">
        <v>971</v>
      </c>
      <c r="IA254">
        <v>200</v>
      </c>
      <c r="IB254" s="10" t="s">
        <v>1</v>
      </c>
      <c r="IC254" s="10"/>
      <c r="ID254" s="10"/>
      <c r="IE254" s="10" t="s">
        <v>1</v>
      </c>
      <c r="IF254" s="10" t="s">
        <v>1</v>
      </c>
      <c r="IG254" s="10"/>
      <c r="IH254" s="10"/>
      <c r="II254" s="10"/>
      <c r="IJ254" s="10"/>
      <c r="IK254" s="10"/>
      <c r="IL254" s="10"/>
      <c r="IM254" s="10"/>
      <c r="IN254" s="10"/>
      <c r="IO254" s="10"/>
      <c r="IP254" s="10"/>
      <c r="IQ254" s="10"/>
      <c r="IR254" s="10"/>
      <c r="IS254" t="s">
        <v>1</v>
      </c>
      <c r="IT254" t="s">
        <v>1</v>
      </c>
      <c r="IW254" t="s">
        <v>1</v>
      </c>
      <c r="IX254" t="s">
        <v>1</v>
      </c>
      <c r="IY254" t="s">
        <v>1</v>
      </c>
      <c r="IZ254" t="s">
        <v>1</v>
      </c>
      <c r="JA254" t="s">
        <v>1</v>
      </c>
      <c r="JB254" s="3" t="s">
        <v>1</v>
      </c>
      <c r="JC254" t="s">
        <v>1</v>
      </c>
      <c r="JD254" s="4" t="s">
        <v>1</v>
      </c>
      <c r="JE254" t="s">
        <v>811</v>
      </c>
      <c r="JF254">
        <v>100</v>
      </c>
      <c r="JR254" t="s">
        <v>1066</v>
      </c>
      <c r="JS254">
        <v>167.3</v>
      </c>
      <c r="JU254" t="s">
        <v>1</v>
      </c>
      <c r="JW254" t="s">
        <v>1</v>
      </c>
      <c r="JX254">
        <v>0</v>
      </c>
      <c r="JY254">
        <v>100</v>
      </c>
      <c r="JZ254" t="s">
        <v>800</v>
      </c>
      <c r="KA254" t="s">
        <v>262</v>
      </c>
      <c r="KB254" t="s">
        <v>738</v>
      </c>
      <c r="KC254" t="s">
        <v>1</v>
      </c>
      <c r="KD254" t="s">
        <v>1</v>
      </c>
      <c r="KE254" t="s">
        <v>1</v>
      </c>
      <c r="KF254" t="s">
        <v>1</v>
      </c>
      <c r="KG254" t="s">
        <v>1</v>
      </c>
      <c r="KH254" t="s">
        <v>1</v>
      </c>
      <c r="KI254" t="s">
        <v>1</v>
      </c>
      <c r="KJ254" t="s">
        <v>1</v>
      </c>
      <c r="KK254" t="s">
        <v>1</v>
      </c>
    </row>
    <row r="255" spans="1:297" x14ac:dyDescent="0.2">
      <c r="A255">
        <v>223</v>
      </c>
      <c r="B255" t="s">
        <v>705</v>
      </c>
      <c r="C255" t="s">
        <v>89</v>
      </c>
      <c r="D255" t="s">
        <v>264</v>
      </c>
      <c r="E255">
        <v>38</v>
      </c>
      <c r="F255" t="s">
        <v>265</v>
      </c>
      <c r="G255" t="s">
        <v>1</v>
      </c>
      <c r="H255" s="26" t="s">
        <v>1420</v>
      </c>
      <c r="I255" t="s">
        <v>1</v>
      </c>
      <c r="J255" t="s">
        <v>1</v>
      </c>
      <c r="K255" t="s">
        <v>1</v>
      </c>
      <c r="L255" t="s">
        <v>1</v>
      </c>
      <c r="M255" t="s">
        <v>1</v>
      </c>
      <c r="N255" t="s">
        <v>1</v>
      </c>
      <c r="O255" t="s">
        <v>1</v>
      </c>
      <c r="P255" t="s">
        <v>1</v>
      </c>
      <c r="Q255" t="s">
        <v>1</v>
      </c>
      <c r="R255" t="s">
        <v>1</v>
      </c>
      <c r="S255" t="s">
        <v>1</v>
      </c>
      <c r="T255" t="s">
        <v>1</v>
      </c>
      <c r="U255" t="s">
        <v>1</v>
      </c>
      <c r="V255" t="s">
        <v>1</v>
      </c>
      <c r="W255" t="s">
        <v>1</v>
      </c>
      <c r="X255" t="s">
        <v>1</v>
      </c>
      <c r="Y255" t="s">
        <v>1</v>
      </c>
      <c r="Z255" t="s">
        <v>1</v>
      </c>
      <c r="AA255" t="s">
        <v>1</v>
      </c>
      <c r="AB255" t="s">
        <v>1</v>
      </c>
      <c r="AC255" t="s">
        <v>1</v>
      </c>
      <c r="AD255" t="s">
        <v>1</v>
      </c>
      <c r="AE255" t="s">
        <v>1</v>
      </c>
      <c r="AF255" t="s">
        <v>1</v>
      </c>
      <c r="AG255" t="s">
        <v>1</v>
      </c>
      <c r="AH255" t="s">
        <v>1</v>
      </c>
      <c r="AI255" t="s">
        <v>1</v>
      </c>
      <c r="AJ255" t="s">
        <v>1</v>
      </c>
      <c r="AK255" t="s">
        <v>1</v>
      </c>
      <c r="AL255" t="s">
        <v>1</v>
      </c>
      <c r="AM255" t="s">
        <v>1</v>
      </c>
      <c r="AN255">
        <v>223</v>
      </c>
      <c r="AO255">
        <f t="shared" si="36"/>
        <v>223</v>
      </c>
      <c r="AP255">
        <f t="shared" si="26"/>
        <v>38</v>
      </c>
      <c r="AQ255">
        <f t="shared" si="27"/>
        <v>38</v>
      </c>
      <c r="AR255" s="26" t="s">
        <v>1355</v>
      </c>
      <c r="AS255" s="26" t="s">
        <v>1356</v>
      </c>
      <c r="AT255" t="s">
        <v>710</v>
      </c>
      <c r="AU255" t="s">
        <v>1</v>
      </c>
      <c r="AV255" t="s">
        <v>1</v>
      </c>
      <c r="AW255">
        <v>40.130000000000003</v>
      </c>
      <c r="AX255">
        <v>116.66</v>
      </c>
      <c r="AY255" t="s">
        <v>737</v>
      </c>
      <c r="BA255" s="3">
        <v>3</v>
      </c>
      <c r="BB255" s="3"/>
      <c r="BC255" s="3"/>
      <c r="BD255" s="3"/>
      <c r="BE255" s="3"/>
      <c r="BF255">
        <v>2007</v>
      </c>
      <c r="BG255" s="24" t="s">
        <v>733</v>
      </c>
      <c r="BH255" s="24" t="s">
        <v>733</v>
      </c>
      <c r="BI255" s="24" t="s">
        <v>733</v>
      </c>
      <c r="BJ255" s="24" t="s">
        <v>732</v>
      </c>
      <c r="BK255" s="24" t="s">
        <v>733</v>
      </c>
      <c r="BL255" s="25" t="s">
        <v>733</v>
      </c>
      <c r="BM255" s="24" t="s">
        <v>733</v>
      </c>
      <c r="BN255" s="24" t="s">
        <v>732</v>
      </c>
      <c r="BO255" s="24" t="s">
        <v>733</v>
      </c>
      <c r="BP255" s="24" t="s">
        <v>733</v>
      </c>
      <c r="BQ255" s="24" t="s">
        <v>945</v>
      </c>
      <c r="BR255" s="24" t="s">
        <v>945</v>
      </c>
      <c r="BS255" s="25" t="s">
        <v>934</v>
      </c>
      <c r="BT255" s="24" t="s">
        <v>934</v>
      </c>
      <c r="BU255" s="24" t="s">
        <v>934</v>
      </c>
      <c r="BV255" s="24" t="s">
        <v>934</v>
      </c>
      <c r="BW255" s="24" t="s">
        <v>934</v>
      </c>
      <c r="BX255" s="24" t="s">
        <v>934</v>
      </c>
      <c r="BY255" s="25" t="s">
        <v>945</v>
      </c>
      <c r="BZ255" t="s">
        <v>1397</v>
      </c>
      <c r="CB255" t="s">
        <v>266</v>
      </c>
      <c r="CC255" s="4">
        <f>AVERAGE(3.74+4.52,3.4+4.58,2.83+3.82)*1000</f>
        <v>7630</v>
      </c>
      <c r="CD255" s="4"/>
      <c r="CE255" s="4"/>
      <c r="CF255" t="s">
        <v>793</v>
      </c>
      <c r="CG255">
        <v>100</v>
      </c>
      <c r="CH255" t="s">
        <v>805</v>
      </c>
      <c r="CI255" s="28">
        <v>2</v>
      </c>
      <c r="CJ255" s="9" t="s">
        <v>1</v>
      </c>
      <c r="CK255" s="9" t="s">
        <v>1</v>
      </c>
      <c r="CL255" s="4" t="s">
        <v>1</v>
      </c>
      <c r="CM255" t="s">
        <v>847</v>
      </c>
      <c r="CN255" s="4">
        <f>SUM(73.7,73.2,64.7,63,54.8,57.8)/3</f>
        <v>129.06666666666669</v>
      </c>
      <c r="CO255" s="4" t="s">
        <v>1</v>
      </c>
      <c r="CP255" s="4" t="s">
        <v>1</v>
      </c>
      <c r="CQ255" s="4" t="s">
        <v>1</v>
      </c>
      <c r="CR255" s="4" t="s">
        <v>1</v>
      </c>
      <c r="CS255" s="4" t="s">
        <v>1</v>
      </c>
      <c r="CT255" s="4" t="s">
        <v>1</v>
      </c>
      <c r="CU255" s="4" t="s">
        <v>1</v>
      </c>
      <c r="CV255" t="s">
        <v>851</v>
      </c>
      <c r="CW255">
        <v>100</v>
      </c>
      <c r="CX255">
        <v>0</v>
      </c>
      <c r="CY255">
        <v>27</v>
      </c>
      <c r="CZ255" s="26" t="s">
        <v>1358</v>
      </c>
      <c r="DA255" t="s">
        <v>734</v>
      </c>
      <c r="DB255">
        <v>36.1</v>
      </c>
      <c r="DC255">
        <v>0</v>
      </c>
      <c r="DD255">
        <v>27</v>
      </c>
      <c r="DE255" s="26" t="s">
        <v>1358</v>
      </c>
      <c r="DF255" t="s">
        <v>735</v>
      </c>
      <c r="DG255">
        <v>44.7</v>
      </c>
      <c r="DH255">
        <v>0</v>
      </c>
      <c r="DI255">
        <v>27</v>
      </c>
      <c r="DJ255" s="26" t="s">
        <v>1358</v>
      </c>
      <c r="DK255" t="s">
        <v>736</v>
      </c>
      <c r="DL255">
        <v>19.2</v>
      </c>
      <c r="DM255">
        <v>0</v>
      </c>
      <c r="DN255">
        <v>27</v>
      </c>
      <c r="DO255" s="26" t="s">
        <v>1358</v>
      </c>
      <c r="DP255" t="s">
        <v>6</v>
      </c>
      <c r="DQ255" t="s">
        <v>1</v>
      </c>
      <c r="DR255">
        <v>8.3000000000000007</v>
      </c>
      <c r="DS255">
        <v>0</v>
      </c>
      <c r="DT255">
        <v>27</v>
      </c>
      <c r="DU255" s="26" t="s">
        <v>1358</v>
      </c>
      <c r="EA255" t="s">
        <v>982</v>
      </c>
      <c r="EB255">
        <v>26.7</v>
      </c>
      <c r="EC255">
        <v>0</v>
      </c>
      <c r="ED255">
        <v>27</v>
      </c>
      <c r="EE255" s="26" t="s">
        <v>1358</v>
      </c>
      <c r="EF255" s="26"/>
      <c r="FZ255" t="s">
        <v>806</v>
      </c>
      <c r="GA255">
        <v>581.93333329999996</v>
      </c>
      <c r="GE255" s="26" t="s">
        <v>1358</v>
      </c>
      <c r="HA255" s="5" t="s">
        <v>1</v>
      </c>
      <c r="HB255" s="4" t="s">
        <v>1</v>
      </c>
      <c r="HC255" t="s">
        <v>1</v>
      </c>
      <c r="HD255" t="s">
        <v>1</v>
      </c>
      <c r="HE255" t="s">
        <v>1</v>
      </c>
      <c r="HF255" s="5" t="s">
        <v>1063</v>
      </c>
      <c r="HG255" s="4">
        <v>1.4299999999999997</v>
      </c>
      <c r="HH255">
        <v>0</v>
      </c>
      <c r="HI255">
        <v>27</v>
      </c>
      <c r="HJ255" s="26" t="s">
        <v>1358</v>
      </c>
      <c r="HK255" t="s">
        <v>815</v>
      </c>
      <c r="HL255">
        <v>1.32</v>
      </c>
      <c r="HM255">
        <v>0</v>
      </c>
      <c r="HN255">
        <v>27</v>
      </c>
      <c r="HO255" t="s">
        <v>1</v>
      </c>
      <c r="HP255" s="26" t="s">
        <v>1358</v>
      </c>
      <c r="HZ255" t="s">
        <v>1</v>
      </c>
      <c r="IA255" t="s">
        <v>1</v>
      </c>
      <c r="IB255" s="10" t="s">
        <v>1</v>
      </c>
      <c r="IC255" s="10"/>
      <c r="ID255" s="10"/>
      <c r="IE255" s="10" t="s">
        <v>1</v>
      </c>
      <c r="IF255" s="10" t="s">
        <v>1</v>
      </c>
      <c r="IG255" s="10"/>
      <c r="IH255" s="10"/>
      <c r="II255" s="10"/>
      <c r="IJ255" s="10"/>
      <c r="IK255" s="10"/>
      <c r="IL255" s="10"/>
      <c r="IM255" s="10"/>
      <c r="IN255" s="10"/>
      <c r="IO255" s="10"/>
      <c r="IP255" s="10"/>
      <c r="IQ255" s="10"/>
      <c r="IR255" s="10"/>
      <c r="IS255" t="s">
        <v>1</v>
      </c>
      <c r="IT255" t="s">
        <v>1</v>
      </c>
      <c r="IW255" t="s">
        <v>1</v>
      </c>
      <c r="IX255" t="s">
        <v>1</v>
      </c>
      <c r="IY255" t="s">
        <v>808</v>
      </c>
      <c r="IZ255">
        <v>2583.333333</v>
      </c>
      <c r="JA255" t="s">
        <v>1</v>
      </c>
      <c r="JB255" s="3" t="s">
        <v>1</v>
      </c>
      <c r="JC255" t="s">
        <v>1</v>
      </c>
      <c r="JD255" s="4" t="s">
        <v>1</v>
      </c>
      <c r="JE255" t="s">
        <v>810</v>
      </c>
      <c r="JF255">
        <v>100</v>
      </c>
      <c r="JR255" t="s">
        <v>1066</v>
      </c>
      <c r="JS255">
        <v>16</v>
      </c>
      <c r="JU255" t="s">
        <v>1</v>
      </c>
      <c r="JW255" t="s">
        <v>1</v>
      </c>
      <c r="JX255">
        <v>0</v>
      </c>
      <c r="JY255">
        <v>200</v>
      </c>
      <c r="JZ255" t="s">
        <v>796</v>
      </c>
      <c r="KA255" t="s">
        <v>198</v>
      </c>
      <c r="KB255" t="s">
        <v>738</v>
      </c>
      <c r="KC255" t="s">
        <v>1</v>
      </c>
      <c r="KD255" t="s">
        <v>1</v>
      </c>
      <c r="KE255" t="s">
        <v>1</v>
      </c>
      <c r="KF255" t="s">
        <v>1</v>
      </c>
      <c r="KG255" t="s">
        <v>1</v>
      </c>
      <c r="KH255" t="s">
        <v>1</v>
      </c>
      <c r="KI255" t="s">
        <v>1</v>
      </c>
      <c r="KJ255" t="s">
        <v>1</v>
      </c>
      <c r="KK255" t="s">
        <v>1</v>
      </c>
    </row>
    <row r="256" spans="1:297" x14ac:dyDescent="0.2">
      <c r="A256">
        <v>224</v>
      </c>
      <c r="B256" t="s">
        <v>705</v>
      </c>
      <c r="C256" t="s">
        <v>267</v>
      </c>
      <c r="D256" t="s">
        <v>264</v>
      </c>
      <c r="E256">
        <v>38</v>
      </c>
      <c r="F256" t="s">
        <v>265</v>
      </c>
      <c r="G256" t="s">
        <v>1</v>
      </c>
      <c r="H256" s="26" t="s">
        <v>1420</v>
      </c>
      <c r="I256" t="s">
        <v>1</v>
      </c>
      <c r="J256" t="s">
        <v>1</v>
      </c>
      <c r="K256" t="s">
        <v>1</v>
      </c>
      <c r="L256" t="s">
        <v>1</v>
      </c>
      <c r="M256" t="s">
        <v>1</v>
      </c>
      <c r="N256" t="s">
        <v>1</v>
      </c>
      <c r="O256" t="s">
        <v>1</v>
      </c>
      <c r="P256" t="s">
        <v>1</v>
      </c>
      <c r="Q256" t="s">
        <v>1</v>
      </c>
      <c r="R256" t="s">
        <v>1</v>
      </c>
      <c r="S256" t="s">
        <v>1</v>
      </c>
      <c r="T256" t="s">
        <v>1</v>
      </c>
      <c r="U256" t="s">
        <v>1</v>
      </c>
      <c r="V256" t="s">
        <v>1</v>
      </c>
      <c r="W256" t="s">
        <v>1</v>
      </c>
      <c r="X256" t="s">
        <v>1</v>
      </c>
      <c r="Y256" t="s">
        <v>1</v>
      </c>
      <c r="Z256" t="s">
        <v>1</v>
      </c>
      <c r="AA256" t="s">
        <v>1</v>
      </c>
      <c r="AB256" t="s">
        <v>1</v>
      </c>
      <c r="AC256" t="s">
        <v>1</v>
      </c>
      <c r="AD256" t="s">
        <v>1</v>
      </c>
      <c r="AE256" t="s">
        <v>1</v>
      </c>
      <c r="AF256" t="s">
        <v>1</v>
      </c>
      <c r="AG256" t="s">
        <v>1</v>
      </c>
      <c r="AH256" t="s">
        <v>1</v>
      </c>
      <c r="AI256" t="s">
        <v>1</v>
      </c>
      <c r="AJ256" t="s">
        <v>1</v>
      </c>
      <c r="AK256" t="s">
        <v>1</v>
      </c>
      <c r="AL256" t="s">
        <v>1</v>
      </c>
      <c r="AM256" t="s">
        <v>1</v>
      </c>
      <c r="AN256">
        <v>224</v>
      </c>
      <c r="AO256">
        <f t="shared" si="36"/>
        <v>224</v>
      </c>
      <c r="AP256">
        <f t="shared" si="26"/>
        <v>38</v>
      </c>
      <c r="AQ256">
        <f t="shared" si="27"/>
        <v>38</v>
      </c>
      <c r="AR256" s="26" t="s">
        <v>1355</v>
      </c>
      <c r="AS256" s="26" t="s">
        <v>1356</v>
      </c>
      <c r="AT256" t="s">
        <v>710</v>
      </c>
      <c r="AU256" t="s">
        <v>1</v>
      </c>
      <c r="AV256" t="s">
        <v>1</v>
      </c>
      <c r="AW256">
        <v>40.130000000000003</v>
      </c>
      <c r="AX256">
        <v>116.66</v>
      </c>
      <c r="AY256" t="s">
        <v>737</v>
      </c>
      <c r="BA256" s="3">
        <v>3</v>
      </c>
      <c r="BB256" s="3"/>
      <c r="BC256" s="3"/>
      <c r="BD256" s="3"/>
      <c r="BE256" s="3"/>
      <c r="BF256">
        <v>2007</v>
      </c>
      <c r="BG256" s="24" t="s">
        <v>733</v>
      </c>
      <c r="BH256" s="24" t="s">
        <v>733</v>
      </c>
      <c r="BI256" s="24" t="s">
        <v>733</v>
      </c>
      <c r="BJ256" s="24" t="s">
        <v>732</v>
      </c>
      <c r="BK256" s="24" t="s">
        <v>733</v>
      </c>
      <c r="BL256" s="25" t="s">
        <v>733</v>
      </c>
      <c r="BM256" s="24" t="s">
        <v>733</v>
      </c>
      <c r="BN256" s="24" t="s">
        <v>732</v>
      </c>
      <c r="BO256" s="24" t="s">
        <v>733</v>
      </c>
      <c r="BP256" s="24" t="s">
        <v>733</v>
      </c>
      <c r="BQ256" s="24" t="s">
        <v>945</v>
      </c>
      <c r="BR256" s="24" t="s">
        <v>945</v>
      </c>
      <c r="BS256" s="25" t="s">
        <v>934</v>
      </c>
      <c r="BT256" s="24" t="s">
        <v>934</v>
      </c>
      <c r="BU256" s="24" t="s">
        <v>934</v>
      </c>
      <c r="BV256" s="24" t="s">
        <v>934</v>
      </c>
      <c r="BW256" s="24" t="s">
        <v>934</v>
      </c>
      <c r="BX256" s="24" t="s">
        <v>934</v>
      </c>
      <c r="BY256" s="25" t="s">
        <v>945</v>
      </c>
      <c r="BZ256" t="s">
        <v>1397</v>
      </c>
      <c r="CB256" t="s">
        <v>266</v>
      </c>
      <c r="CC256" s="4">
        <f>AVERAGE(6.9+7.91,7.32+7.89,7.66+5.94)*1000</f>
        <v>14540.000000000002</v>
      </c>
      <c r="CD256" s="4"/>
      <c r="CE256" s="4"/>
      <c r="CF256" t="s">
        <v>793</v>
      </c>
      <c r="CG256">
        <v>100</v>
      </c>
      <c r="CH256" t="s">
        <v>805</v>
      </c>
      <c r="CI256" s="28">
        <v>2</v>
      </c>
      <c r="CJ256" s="9" t="s">
        <v>1</v>
      </c>
      <c r="CK256" s="9" t="s">
        <v>1</v>
      </c>
      <c r="CL256" s="4" t="s">
        <v>1</v>
      </c>
      <c r="CM256" t="s">
        <v>847</v>
      </c>
      <c r="CN256" s="4">
        <f>SUM(173.7,152.1,179,167.8,183.8,151.9)/3</f>
        <v>336.09999999999997</v>
      </c>
      <c r="CO256" s="4" t="s">
        <v>1</v>
      </c>
      <c r="CP256" s="4" t="s">
        <v>1</v>
      </c>
      <c r="CQ256" s="4" t="s">
        <v>1</v>
      </c>
      <c r="CR256" s="4" t="s">
        <v>1</v>
      </c>
      <c r="CS256" s="4" t="s">
        <v>1</v>
      </c>
      <c r="CT256" s="4" t="s">
        <v>1</v>
      </c>
      <c r="CU256" s="4" t="s">
        <v>1</v>
      </c>
      <c r="CV256" t="s">
        <v>851</v>
      </c>
      <c r="CW256">
        <v>100</v>
      </c>
      <c r="CX256">
        <v>0</v>
      </c>
      <c r="CY256">
        <v>27</v>
      </c>
      <c r="CZ256" s="26" t="s">
        <v>1358</v>
      </c>
      <c r="DA256" t="s">
        <v>734</v>
      </c>
      <c r="DB256">
        <v>36.1</v>
      </c>
      <c r="DC256">
        <v>0</v>
      </c>
      <c r="DD256">
        <v>27</v>
      </c>
      <c r="DE256" s="26" t="s">
        <v>1358</v>
      </c>
      <c r="DF256" t="s">
        <v>735</v>
      </c>
      <c r="DG256">
        <v>44.7</v>
      </c>
      <c r="DH256">
        <v>0</v>
      </c>
      <c r="DI256">
        <v>27</v>
      </c>
      <c r="DJ256" s="26" t="s">
        <v>1358</v>
      </c>
      <c r="DK256" t="s">
        <v>736</v>
      </c>
      <c r="DL256">
        <v>19.2</v>
      </c>
      <c r="DM256">
        <v>0</v>
      </c>
      <c r="DN256">
        <v>27</v>
      </c>
      <c r="DO256" s="26" t="s">
        <v>1358</v>
      </c>
      <c r="DP256" t="s">
        <v>6</v>
      </c>
      <c r="DQ256" t="s">
        <v>1</v>
      </c>
      <c r="DR256">
        <v>8.3000000000000007</v>
      </c>
      <c r="DS256">
        <v>0</v>
      </c>
      <c r="DT256">
        <v>27</v>
      </c>
      <c r="DU256" s="26" t="s">
        <v>1358</v>
      </c>
      <c r="EA256" t="s">
        <v>982</v>
      </c>
      <c r="EB256">
        <v>26.7</v>
      </c>
      <c r="EC256">
        <v>0</v>
      </c>
      <c r="ED256">
        <v>27</v>
      </c>
      <c r="EE256" s="26" t="s">
        <v>1358</v>
      </c>
      <c r="EF256" s="26"/>
      <c r="FZ256" t="s">
        <v>806</v>
      </c>
      <c r="GA256">
        <v>581.93333329999996</v>
      </c>
      <c r="GE256" s="26" t="s">
        <v>1358</v>
      </c>
      <c r="HA256" s="5" t="s">
        <v>1</v>
      </c>
      <c r="HB256" s="4" t="s">
        <v>1</v>
      </c>
      <c r="HC256" t="s">
        <v>1</v>
      </c>
      <c r="HD256" t="s">
        <v>1</v>
      </c>
      <c r="HE256" t="s">
        <v>1</v>
      </c>
      <c r="HF256" s="5" t="s">
        <v>1063</v>
      </c>
      <c r="HG256" s="4">
        <v>1.4299999999999997</v>
      </c>
      <c r="HH256">
        <v>0</v>
      </c>
      <c r="HI256">
        <v>27</v>
      </c>
      <c r="HJ256" s="26" t="s">
        <v>1358</v>
      </c>
      <c r="HK256" t="s">
        <v>815</v>
      </c>
      <c r="HL256">
        <v>1.32</v>
      </c>
      <c r="HM256">
        <v>0</v>
      </c>
      <c r="HN256">
        <v>27</v>
      </c>
      <c r="HO256" t="s">
        <v>1</v>
      </c>
      <c r="HP256" s="26" t="s">
        <v>1358</v>
      </c>
      <c r="HZ256" t="s">
        <v>969</v>
      </c>
      <c r="IA256">
        <v>360</v>
      </c>
      <c r="IB256" s="10" t="s">
        <v>1</v>
      </c>
      <c r="IC256" s="10"/>
      <c r="ID256" s="10"/>
      <c r="IE256" s="10" t="s">
        <v>1</v>
      </c>
      <c r="IF256" s="10" t="s">
        <v>1</v>
      </c>
      <c r="IG256" s="10"/>
      <c r="IH256" s="10"/>
      <c r="II256" s="10"/>
      <c r="IJ256" s="10"/>
      <c r="IK256" s="10"/>
      <c r="IL256" s="10"/>
      <c r="IM256" s="10"/>
      <c r="IN256" s="10"/>
      <c r="IO256" s="10"/>
      <c r="IP256" s="10"/>
      <c r="IQ256" s="10"/>
      <c r="IR256" s="10"/>
      <c r="IS256" t="s">
        <v>1</v>
      </c>
      <c r="IT256" t="s">
        <v>1</v>
      </c>
      <c r="IW256" t="s">
        <v>1</v>
      </c>
      <c r="IX256" t="s">
        <v>1</v>
      </c>
      <c r="IY256" t="s">
        <v>808</v>
      </c>
      <c r="IZ256">
        <v>2583.333333</v>
      </c>
      <c r="JA256" t="s">
        <v>1</v>
      </c>
      <c r="JB256" s="3" t="s">
        <v>1</v>
      </c>
      <c r="JC256" t="s">
        <v>1</v>
      </c>
      <c r="JD256" s="4" t="s">
        <v>1</v>
      </c>
      <c r="JE256" t="s">
        <v>810</v>
      </c>
      <c r="JF256">
        <v>100</v>
      </c>
      <c r="JR256" t="s">
        <v>1066</v>
      </c>
      <c r="JS256">
        <v>58.1</v>
      </c>
      <c r="JU256" t="s">
        <v>1</v>
      </c>
      <c r="JW256" t="s">
        <v>1</v>
      </c>
      <c r="JX256">
        <v>0</v>
      </c>
      <c r="JY256">
        <v>200</v>
      </c>
      <c r="JZ256" t="s">
        <v>796</v>
      </c>
      <c r="KA256" t="s">
        <v>198</v>
      </c>
      <c r="KB256" t="s">
        <v>738</v>
      </c>
      <c r="KC256" t="s">
        <v>1</v>
      </c>
      <c r="KD256" t="s">
        <v>1</v>
      </c>
      <c r="KE256" t="s">
        <v>1</v>
      </c>
      <c r="KF256" t="s">
        <v>1</v>
      </c>
      <c r="KG256" t="s">
        <v>1</v>
      </c>
      <c r="KH256" t="s">
        <v>1</v>
      </c>
      <c r="KI256" t="s">
        <v>1</v>
      </c>
      <c r="KJ256" t="s">
        <v>1</v>
      </c>
      <c r="KK256" t="s">
        <v>1</v>
      </c>
    </row>
    <row r="257" spans="1:297" x14ac:dyDescent="0.2">
      <c r="A257">
        <v>225</v>
      </c>
      <c r="B257" t="s">
        <v>705</v>
      </c>
      <c r="C257" t="s">
        <v>268</v>
      </c>
      <c r="D257" t="s">
        <v>264</v>
      </c>
      <c r="E257">
        <v>38</v>
      </c>
      <c r="F257" t="s">
        <v>265</v>
      </c>
      <c r="G257" t="s">
        <v>1</v>
      </c>
      <c r="H257" s="26" t="s">
        <v>1420</v>
      </c>
      <c r="I257" t="s">
        <v>1</v>
      </c>
      <c r="J257" t="s">
        <v>1</v>
      </c>
      <c r="K257" t="s">
        <v>1</v>
      </c>
      <c r="L257" t="s">
        <v>1</v>
      </c>
      <c r="M257" t="s">
        <v>1</v>
      </c>
      <c r="N257" t="s">
        <v>1</v>
      </c>
      <c r="O257" t="s">
        <v>1</v>
      </c>
      <c r="P257" t="s">
        <v>1</v>
      </c>
      <c r="Q257" t="s">
        <v>1</v>
      </c>
      <c r="R257" t="s">
        <v>1</v>
      </c>
      <c r="S257" t="s">
        <v>1</v>
      </c>
      <c r="T257" t="s">
        <v>1</v>
      </c>
      <c r="U257" t="s">
        <v>1</v>
      </c>
      <c r="V257" t="s">
        <v>1</v>
      </c>
      <c r="W257" t="s">
        <v>1</v>
      </c>
      <c r="X257" t="s">
        <v>1</v>
      </c>
      <c r="Y257" t="s">
        <v>1</v>
      </c>
      <c r="Z257" t="s">
        <v>1</v>
      </c>
      <c r="AA257" t="s">
        <v>1</v>
      </c>
      <c r="AB257" t="s">
        <v>1</v>
      </c>
      <c r="AC257" t="s">
        <v>1</v>
      </c>
      <c r="AD257" t="s">
        <v>1</v>
      </c>
      <c r="AE257" t="s">
        <v>1</v>
      </c>
      <c r="AF257" t="s">
        <v>1</v>
      </c>
      <c r="AG257" t="s">
        <v>1</v>
      </c>
      <c r="AH257" t="s">
        <v>1</v>
      </c>
      <c r="AI257" t="s">
        <v>1</v>
      </c>
      <c r="AJ257" t="s">
        <v>1</v>
      </c>
      <c r="AK257" t="s">
        <v>1</v>
      </c>
      <c r="AL257" t="s">
        <v>1</v>
      </c>
      <c r="AM257" t="s">
        <v>1</v>
      </c>
      <c r="AN257">
        <v>225</v>
      </c>
      <c r="AO257">
        <f t="shared" si="36"/>
        <v>225</v>
      </c>
      <c r="AP257">
        <f t="shared" si="26"/>
        <v>38</v>
      </c>
      <c r="AQ257">
        <f t="shared" si="27"/>
        <v>38</v>
      </c>
      <c r="AR257" s="26" t="s">
        <v>1355</v>
      </c>
      <c r="AS257" s="26" t="s">
        <v>1356</v>
      </c>
      <c r="AT257" t="s">
        <v>710</v>
      </c>
      <c r="AU257" t="s">
        <v>1</v>
      </c>
      <c r="AV257" t="s">
        <v>1</v>
      </c>
      <c r="AW257">
        <v>40.130000000000003</v>
      </c>
      <c r="AX257">
        <v>116.66</v>
      </c>
      <c r="AY257" t="s">
        <v>737</v>
      </c>
      <c r="BA257" s="3">
        <v>3</v>
      </c>
      <c r="BB257" s="3"/>
      <c r="BC257" s="3"/>
      <c r="BD257" s="3"/>
      <c r="BE257" s="3"/>
      <c r="BF257">
        <v>2007</v>
      </c>
      <c r="BG257" s="24" t="s">
        <v>733</v>
      </c>
      <c r="BH257" s="24" t="s">
        <v>733</v>
      </c>
      <c r="BI257" s="24" t="s">
        <v>733</v>
      </c>
      <c r="BJ257" s="24" t="s">
        <v>732</v>
      </c>
      <c r="BK257" s="24" t="s">
        <v>733</v>
      </c>
      <c r="BL257" s="25" t="s">
        <v>733</v>
      </c>
      <c r="BM257" s="24" t="s">
        <v>733</v>
      </c>
      <c r="BN257" s="24" t="s">
        <v>732</v>
      </c>
      <c r="BO257" s="24" t="s">
        <v>733</v>
      </c>
      <c r="BP257" s="24" t="s">
        <v>733</v>
      </c>
      <c r="BQ257" s="24" t="s">
        <v>945</v>
      </c>
      <c r="BR257" s="24" t="s">
        <v>945</v>
      </c>
      <c r="BS257" s="25" t="s">
        <v>934</v>
      </c>
      <c r="BT257" s="24" t="s">
        <v>934</v>
      </c>
      <c r="BU257" s="24" t="s">
        <v>934</v>
      </c>
      <c r="BV257" s="24" t="s">
        <v>934</v>
      </c>
      <c r="BW257" s="24" t="s">
        <v>934</v>
      </c>
      <c r="BX257" s="24" t="s">
        <v>934</v>
      </c>
      <c r="BY257" s="25" t="s">
        <v>945</v>
      </c>
      <c r="BZ257" t="s">
        <v>1397</v>
      </c>
      <c r="CB257" t="s">
        <v>266</v>
      </c>
      <c r="CC257" s="4">
        <f>AVERAGE(7.09+8.08,7.43+8.19,7.73+5.87)*1000</f>
        <v>14796.666666666666</v>
      </c>
      <c r="CD257" s="4"/>
      <c r="CE257" s="4"/>
      <c r="CF257" t="s">
        <v>793</v>
      </c>
      <c r="CG257">
        <v>100</v>
      </c>
      <c r="CH257" t="s">
        <v>805</v>
      </c>
      <c r="CI257" s="28">
        <v>2</v>
      </c>
      <c r="CJ257" s="9" t="s">
        <v>1</v>
      </c>
      <c r="CK257" s="9" t="s">
        <v>1</v>
      </c>
      <c r="CL257" s="4" t="s">
        <v>1</v>
      </c>
      <c r="CM257" t="s">
        <v>847</v>
      </c>
      <c r="CN257" s="4">
        <f>SUM(185.2,173.6,197.7,187.7,203.6,161)/3</f>
        <v>369.60000000000008</v>
      </c>
      <c r="CO257" s="4" t="s">
        <v>1</v>
      </c>
      <c r="CP257" s="4" t="s">
        <v>1</v>
      </c>
      <c r="CQ257" s="4" t="s">
        <v>1</v>
      </c>
      <c r="CR257" s="4" t="s">
        <v>1</v>
      </c>
      <c r="CS257" s="4" t="s">
        <v>1</v>
      </c>
      <c r="CT257" s="4" t="s">
        <v>1</v>
      </c>
      <c r="CU257" s="4" t="s">
        <v>1</v>
      </c>
      <c r="CV257" t="s">
        <v>851</v>
      </c>
      <c r="CW257">
        <v>100</v>
      </c>
      <c r="CX257">
        <v>0</v>
      </c>
      <c r="CY257">
        <v>27</v>
      </c>
      <c r="CZ257" s="26" t="s">
        <v>1358</v>
      </c>
      <c r="DA257" t="s">
        <v>734</v>
      </c>
      <c r="DB257">
        <v>36.1</v>
      </c>
      <c r="DC257">
        <v>0</v>
      </c>
      <c r="DD257">
        <v>27</v>
      </c>
      <c r="DE257" s="26" t="s">
        <v>1358</v>
      </c>
      <c r="DF257" t="s">
        <v>735</v>
      </c>
      <c r="DG257">
        <v>44.7</v>
      </c>
      <c r="DH257">
        <v>0</v>
      </c>
      <c r="DI257">
        <v>27</v>
      </c>
      <c r="DJ257" s="26" t="s">
        <v>1358</v>
      </c>
      <c r="DK257" t="s">
        <v>736</v>
      </c>
      <c r="DL257">
        <v>19.2</v>
      </c>
      <c r="DM257">
        <v>0</v>
      </c>
      <c r="DN257">
        <v>27</v>
      </c>
      <c r="DO257" s="26" t="s">
        <v>1358</v>
      </c>
      <c r="DP257" t="s">
        <v>6</v>
      </c>
      <c r="DQ257" t="s">
        <v>1</v>
      </c>
      <c r="DR257">
        <v>8.3000000000000007</v>
      </c>
      <c r="DS257">
        <v>0</v>
      </c>
      <c r="DT257">
        <v>27</v>
      </c>
      <c r="DU257" s="26" t="s">
        <v>1358</v>
      </c>
      <c r="EA257" t="s">
        <v>982</v>
      </c>
      <c r="EB257">
        <v>26.7</v>
      </c>
      <c r="EC257">
        <v>0</v>
      </c>
      <c r="ED257">
        <v>27</v>
      </c>
      <c r="EE257" s="26" t="s">
        <v>1358</v>
      </c>
      <c r="EF257" s="26"/>
      <c r="FZ257" t="s">
        <v>806</v>
      </c>
      <c r="GA257">
        <v>581.93333329999996</v>
      </c>
      <c r="GE257" s="26" t="s">
        <v>1358</v>
      </c>
      <c r="HA257" s="5" t="s">
        <v>1</v>
      </c>
      <c r="HB257" s="4" t="s">
        <v>1</v>
      </c>
      <c r="HC257" t="s">
        <v>1</v>
      </c>
      <c r="HD257" t="s">
        <v>1</v>
      </c>
      <c r="HE257" t="s">
        <v>1</v>
      </c>
      <c r="HF257" s="5" t="s">
        <v>1063</v>
      </c>
      <c r="HG257" s="4">
        <v>1.4299999999999997</v>
      </c>
      <c r="HH257">
        <v>0</v>
      </c>
      <c r="HI257">
        <v>27</v>
      </c>
      <c r="HJ257" s="26" t="s">
        <v>1358</v>
      </c>
      <c r="HK257" t="s">
        <v>815</v>
      </c>
      <c r="HL257">
        <v>1.32</v>
      </c>
      <c r="HM257">
        <v>0</v>
      </c>
      <c r="HN257">
        <v>27</v>
      </c>
      <c r="HO257" t="s">
        <v>1</v>
      </c>
      <c r="HP257" s="26" t="s">
        <v>1358</v>
      </c>
      <c r="HZ257" t="s">
        <v>969</v>
      </c>
      <c r="IA257">
        <v>520</v>
      </c>
      <c r="IB257" s="10" t="s">
        <v>1</v>
      </c>
      <c r="IC257" s="10"/>
      <c r="ID257" s="10"/>
      <c r="IE257" s="10" t="s">
        <v>1</v>
      </c>
      <c r="IF257" s="10" t="s">
        <v>1</v>
      </c>
      <c r="IG257" s="10"/>
      <c r="IH257" s="10"/>
      <c r="II257" s="10"/>
      <c r="IJ257" s="10"/>
      <c r="IK257" s="10"/>
      <c r="IL257" s="10"/>
      <c r="IM257" s="10"/>
      <c r="IN257" s="10"/>
      <c r="IO257" s="10"/>
      <c r="IP257" s="10"/>
      <c r="IQ257" s="10"/>
      <c r="IR257" s="10"/>
      <c r="IS257" t="s">
        <v>1</v>
      </c>
      <c r="IT257" t="s">
        <v>1</v>
      </c>
      <c r="IW257" t="s">
        <v>1</v>
      </c>
      <c r="IX257" t="s">
        <v>1</v>
      </c>
      <c r="IY257" t="s">
        <v>808</v>
      </c>
      <c r="IZ257">
        <v>2583.333333</v>
      </c>
      <c r="JA257" t="s">
        <v>1</v>
      </c>
      <c r="JB257" s="3" t="s">
        <v>1</v>
      </c>
      <c r="JC257" t="s">
        <v>1</v>
      </c>
      <c r="JD257" s="4" t="s">
        <v>1</v>
      </c>
      <c r="JE257" t="s">
        <v>810</v>
      </c>
      <c r="JF257">
        <v>100</v>
      </c>
      <c r="JR257" t="s">
        <v>1066</v>
      </c>
      <c r="JS257">
        <v>108.3</v>
      </c>
      <c r="JU257" t="s">
        <v>1</v>
      </c>
      <c r="JW257" t="s">
        <v>1</v>
      </c>
      <c r="JX257">
        <v>0</v>
      </c>
      <c r="JY257">
        <v>200</v>
      </c>
      <c r="JZ257" t="s">
        <v>796</v>
      </c>
      <c r="KA257" t="s">
        <v>198</v>
      </c>
      <c r="KB257" t="s">
        <v>738</v>
      </c>
      <c r="KC257" t="s">
        <v>1</v>
      </c>
      <c r="KD257" t="s">
        <v>1</v>
      </c>
      <c r="KE257" t="s">
        <v>1</v>
      </c>
      <c r="KF257" t="s">
        <v>1</v>
      </c>
      <c r="KG257" t="s">
        <v>1</v>
      </c>
      <c r="KH257" t="s">
        <v>1</v>
      </c>
      <c r="KI257" t="s">
        <v>1</v>
      </c>
      <c r="KJ257" t="s">
        <v>1</v>
      </c>
      <c r="KK257" t="s">
        <v>1</v>
      </c>
    </row>
    <row r="258" spans="1:297" x14ac:dyDescent="0.2">
      <c r="A258">
        <v>226</v>
      </c>
      <c r="B258" t="s">
        <v>705</v>
      </c>
      <c r="C258" t="s">
        <v>269</v>
      </c>
      <c r="D258" t="s">
        <v>264</v>
      </c>
      <c r="E258">
        <v>38</v>
      </c>
      <c r="F258" t="s">
        <v>265</v>
      </c>
      <c r="G258" t="s">
        <v>1</v>
      </c>
      <c r="H258" s="26" t="s">
        <v>1420</v>
      </c>
      <c r="I258" t="s">
        <v>1</v>
      </c>
      <c r="J258" t="s">
        <v>1</v>
      </c>
      <c r="K258" t="s">
        <v>1</v>
      </c>
      <c r="L258" t="s">
        <v>1</v>
      </c>
      <c r="M258" t="s">
        <v>1</v>
      </c>
      <c r="N258" t="s">
        <v>1</v>
      </c>
      <c r="O258" t="s">
        <v>1</v>
      </c>
      <c r="P258" t="s">
        <v>1</v>
      </c>
      <c r="Q258" t="s">
        <v>1</v>
      </c>
      <c r="R258" t="s">
        <v>1</v>
      </c>
      <c r="S258" t="s">
        <v>1</v>
      </c>
      <c r="T258" t="s">
        <v>1</v>
      </c>
      <c r="U258" t="s">
        <v>1</v>
      </c>
      <c r="V258" t="s">
        <v>1</v>
      </c>
      <c r="W258" t="s">
        <v>1</v>
      </c>
      <c r="X258" t="s">
        <v>1</v>
      </c>
      <c r="Y258" t="s">
        <v>1</v>
      </c>
      <c r="Z258" t="s">
        <v>1</v>
      </c>
      <c r="AA258" t="s">
        <v>1</v>
      </c>
      <c r="AB258" t="s">
        <v>1</v>
      </c>
      <c r="AC258" t="s">
        <v>1</v>
      </c>
      <c r="AD258" t="s">
        <v>1</v>
      </c>
      <c r="AE258" t="s">
        <v>1</v>
      </c>
      <c r="AF258" t="s">
        <v>1</v>
      </c>
      <c r="AG258" t="s">
        <v>1</v>
      </c>
      <c r="AH258" t="s">
        <v>1</v>
      </c>
      <c r="AI258" t="s">
        <v>1</v>
      </c>
      <c r="AJ258" t="s">
        <v>1</v>
      </c>
      <c r="AK258" t="s">
        <v>1</v>
      </c>
      <c r="AL258" t="s">
        <v>1</v>
      </c>
      <c r="AM258" t="s">
        <v>1</v>
      </c>
      <c r="AN258">
        <v>226</v>
      </c>
      <c r="AO258">
        <f t="shared" si="36"/>
        <v>226</v>
      </c>
      <c r="AP258">
        <f t="shared" ref="AP258:AP321" si="40">E258</f>
        <v>38</v>
      </c>
      <c r="AQ258">
        <f t="shared" ref="AQ258:AQ321" si="41">E258</f>
        <v>38</v>
      </c>
      <c r="AR258" s="26" t="s">
        <v>1355</v>
      </c>
      <c r="AS258" s="26" t="s">
        <v>1356</v>
      </c>
      <c r="AT258" t="s">
        <v>710</v>
      </c>
      <c r="AU258" t="s">
        <v>1</v>
      </c>
      <c r="AV258" t="s">
        <v>1</v>
      </c>
      <c r="AW258">
        <v>40.130000000000003</v>
      </c>
      <c r="AX258">
        <v>116.66</v>
      </c>
      <c r="AY258" t="s">
        <v>737</v>
      </c>
      <c r="BA258" s="3">
        <v>3</v>
      </c>
      <c r="BB258" s="3"/>
      <c r="BC258" s="3"/>
      <c r="BD258" s="3"/>
      <c r="BE258" s="3"/>
      <c r="BF258">
        <v>2007</v>
      </c>
      <c r="BG258" s="24" t="s">
        <v>733</v>
      </c>
      <c r="BH258" s="24" t="s">
        <v>733</v>
      </c>
      <c r="BI258" s="24" t="s">
        <v>733</v>
      </c>
      <c r="BJ258" s="24" t="s">
        <v>732</v>
      </c>
      <c r="BK258" s="24" t="s">
        <v>733</v>
      </c>
      <c r="BL258" s="25" t="s">
        <v>733</v>
      </c>
      <c r="BM258" s="24" t="s">
        <v>733</v>
      </c>
      <c r="BN258" s="24" t="s">
        <v>732</v>
      </c>
      <c r="BO258" s="24" t="s">
        <v>733</v>
      </c>
      <c r="BP258" s="24" t="s">
        <v>733</v>
      </c>
      <c r="BQ258" s="24" t="s">
        <v>945</v>
      </c>
      <c r="BR258" s="24" t="s">
        <v>945</v>
      </c>
      <c r="BS258" s="25" t="s">
        <v>934</v>
      </c>
      <c r="BT258" s="24" t="s">
        <v>934</v>
      </c>
      <c r="BU258" s="24" t="s">
        <v>934</v>
      </c>
      <c r="BV258" s="24" t="s">
        <v>934</v>
      </c>
      <c r="BW258" s="24" t="s">
        <v>934</v>
      </c>
      <c r="BX258" s="24" t="s">
        <v>934</v>
      </c>
      <c r="BY258" s="25" t="s">
        <v>945</v>
      </c>
      <c r="BZ258" t="s">
        <v>1397</v>
      </c>
      <c r="CB258" t="s">
        <v>266</v>
      </c>
      <c r="CC258" s="4">
        <f>AVERAGE(7.06+8.16,7.37+8.25,7.55+5.97)*1000</f>
        <v>14786.666666666668</v>
      </c>
      <c r="CD258" s="4"/>
      <c r="CE258" s="4"/>
      <c r="CF258" t="s">
        <v>793</v>
      </c>
      <c r="CG258">
        <v>100</v>
      </c>
      <c r="CH258" t="s">
        <v>805</v>
      </c>
      <c r="CI258" s="28">
        <v>2</v>
      </c>
      <c r="CJ258" s="9" t="s">
        <v>1</v>
      </c>
      <c r="CK258" s="9" t="s">
        <v>1</v>
      </c>
      <c r="CL258" s="4" t="s">
        <v>1</v>
      </c>
      <c r="CM258" t="s">
        <v>847</v>
      </c>
      <c r="CN258" s="4">
        <f>SUM(190.3,179.2,201.4,194.6,206,171.7)/3</f>
        <v>381.06666666666666</v>
      </c>
      <c r="CO258" s="4" t="s">
        <v>1</v>
      </c>
      <c r="CP258" s="4" t="s">
        <v>1</v>
      </c>
      <c r="CQ258" s="4" t="s">
        <v>1</v>
      </c>
      <c r="CR258" s="4" t="s">
        <v>1</v>
      </c>
      <c r="CS258" s="4" t="s">
        <v>1</v>
      </c>
      <c r="CT258" s="4" t="s">
        <v>1</v>
      </c>
      <c r="CU258" s="4" t="s">
        <v>1</v>
      </c>
      <c r="CV258" t="s">
        <v>851</v>
      </c>
      <c r="CW258">
        <v>100</v>
      </c>
      <c r="CX258">
        <v>0</v>
      </c>
      <c r="CY258">
        <v>27</v>
      </c>
      <c r="CZ258" s="26" t="s">
        <v>1358</v>
      </c>
      <c r="DA258" t="s">
        <v>734</v>
      </c>
      <c r="DB258">
        <v>36.1</v>
      </c>
      <c r="DC258">
        <v>0</v>
      </c>
      <c r="DD258">
        <v>27</v>
      </c>
      <c r="DE258" s="26" t="s">
        <v>1358</v>
      </c>
      <c r="DF258" t="s">
        <v>735</v>
      </c>
      <c r="DG258">
        <v>44.7</v>
      </c>
      <c r="DH258">
        <v>0</v>
      </c>
      <c r="DI258">
        <v>27</v>
      </c>
      <c r="DJ258" s="26" t="s">
        <v>1358</v>
      </c>
      <c r="DK258" t="s">
        <v>736</v>
      </c>
      <c r="DL258">
        <v>19.2</v>
      </c>
      <c r="DM258">
        <v>0</v>
      </c>
      <c r="DN258">
        <v>27</v>
      </c>
      <c r="DO258" s="26" t="s">
        <v>1358</v>
      </c>
      <c r="DP258" t="s">
        <v>6</v>
      </c>
      <c r="DQ258" t="s">
        <v>1</v>
      </c>
      <c r="DR258">
        <v>8.3000000000000007</v>
      </c>
      <c r="DS258">
        <v>0</v>
      </c>
      <c r="DT258">
        <v>27</v>
      </c>
      <c r="DU258" s="26" t="s">
        <v>1358</v>
      </c>
      <c r="EA258" t="s">
        <v>982</v>
      </c>
      <c r="EB258">
        <v>26.7</v>
      </c>
      <c r="EC258">
        <v>0</v>
      </c>
      <c r="ED258">
        <v>27</v>
      </c>
      <c r="EE258" s="26" t="s">
        <v>1358</v>
      </c>
      <c r="EF258" s="26"/>
      <c r="FZ258" t="s">
        <v>806</v>
      </c>
      <c r="GA258">
        <v>581.93333329999996</v>
      </c>
      <c r="GE258" s="26" t="s">
        <v>1358</v>
      </c>
      <c r="HA258" s="5" t="s">
        <v>1</v>
      </c>
      <c r="HB258" s="4" t="s">
        <v>1</v>
      </c>
      <c r="HC258" t="s">
        <v>1</v>
      </c>
      <c r="HD258" t="s">
        <v>1</v>
      </c>
      <c r="HE258" t="s">
        <v>1</v>
      </c>
      <c r="HF258" s="5" t="s">
        <v>1063</v>
      </c>
      <c r="HG258" s="4">
        <v>1.4299999999999997</v>
      </c>
      <c r="HH258">
        <v>0</v>
      </c>
      <c r="HI258">
        <v>27</v>
      </c>
      <c r="HJ258" s="26" t="s">
        <v>1358</v>
      </c>
      <c r="HK258" t="s">
        <v>815</v>
      </c>
      <c r="HL258">
        <v>1.32</v>
      </c>
      <c r="HM258">
        <v>0</v>
      </c>
      <c r="HN258">
        <v>27</v>
      </c>
      <c r="HO258" t="s">
        <v>1</v>
      </c>
      <c r="HP258" s="26" t="s">
        <v>1358</v>
      </c>
      <c r="HZ258" t="s">
        <v>969</v>
      </c>
      <c r="IA258">
        <v>720</v>
      </c>
      <c r="IB258" s="10" t="s">
        <v>1</v>
      </c>
      <c r="IC258" s="10"/>
      <c r="ID258" s="10"/>
      <c r="IE258" s="10" t="s">
        <v>1</v>
      </c>
      <c r="IF258" s="10" t="s">
        <v>1</v>
      </c>
      <c r="IG258" s="10"/>
      <c r="IH258" s="10"/>
      <c r="II258" s="10"/>
      <c r="IJ258" s="10"/>
      <c r="IK258" s="10"/>
      <c r="IL258" s="10"/>
      <c r="IM258" s="10"/>
      <c r="IN258" s="10"/>
      <c r="IO258" s="10"/>
      <c r="IP258" s="10"/>
      <c r="IQ258" s="10"/>
      <c r="IR258" s="10"/>
      <c r="IS258" t="s">
        <v>1</v>
      </c>
      <c r="IT258" t="s">
        <v>1</v>
      </c>
      <c r="IW258" t="s">
        <v>1</v>
      </c>
      <c r="IX258" t="s">
        <v>1</v>
      </c>
      <c r="IY258" t="s">
        <v>808</v>
      </c>
      <c r="IZ258">
        <v>2583.333333</v>
      </c>
      <c r="JA258" t="s">
        <v>1</v>
      </c>
      <c r="JB258" s="3" t="s">
        <v>1</v>
      </c>
      <c r="JC258" t="s">
        <v>1</v>
      </c>
      <c r="JD258" s="4" t="s">
        <v>1</v>
      </c>
      <c r="JE258" t="s">
        <v>810</v>
      </c>
      <c r="JF258">
        <v>100</v>
      </c>
      <c r="JR258" t="s">
        <v>1066</v>
      </c>
      <c r="JS258">
        <v>196.8</v>
      </c>
      <c r="JU258" t="s">
        <v>1</v>
      </c>
      <c r="JW258" t="s">
        <v>1</v>
      </c>
      <c r="JX258">
        <v>0</v>
      </c>
      <c r="JY258">
        <v>200</v>
      </c>
      <c r="JZ258" t="s">
        <v>796</v>
      </c>
      <c r="KA258" t="s">
        <v>198</v>
      </c>
      <c r="KB258" t="s">
        <v>738</v>
      </c>
      <c r="KC258" t="s">
        <v>1</v>
      </c>
      <c r="KD258" t="s">
        <v>1</v>
      </c>
      <c r="KE258" t="s">
        <v>1</v>
      </c>
      <c r="KF258" t="s">
        <v>1</v>
      </c>
      <c r="KG258" t="s">
        <v>1</v>
      </c>
      <c r="KH258" t="s">
        <v>1</v>
      </c>
      <c r="KI258" t="s">
        <v>1</v>
      </c>
      <c r="KJ258" t="s">
        <v>1</v>
      </c>
      <c r="KK258" t="s">
        <v>1</v>
      </c>
    </row>
    <row r="259" spans="1:297" x14ac:dyDescent="0.2">
      <c r="A259">
        <v>227</v>
      </c>
      <c r="B259" t="s">
        <v>705</v>
      </c>
      <c r="C259" t="s">
        <v>271</v>
      </c>
      <c r="D259" t="s">
        <v>270</v>
      </c>
      <c r="E259">
        <v>39</v>
      </c>
      <c r="F259" t="s">
        <v>1328</v>
      </c>
      <c r="G259" t="s">
        <v>1</v>
      </c>
      <c r="H259" s="26" t="s">
        <v>1420</v>
      </c>
      <c r="I259" t="s">
        <v>1</v>
      </c>
      <c r="J259" t="s">
        <v>1</v>
      </c>
      <c r="K259" t="s">
        <v>1</v>
      </c>
      <c r="L259" t="s">
        <v>1</v>
      </c>
      <c r="M259" t="s">
        <v>1</v>
      </c>
      <c r="N259" t="s">
        <v>1</v>
      </c>
      <c r="O259" t="s">
        <v>1</v>
      </c>
      <c r="P259" t="s">
        <v>1</v>
      </c>
      <c r="Q259" t="s">
        <v>1</v>
      </c>
      <c r="R259" t="s">
        <v>1</v>
      </c>
      <c r="S259" t="s">
        <v>1</v>
      </c>
      <c r="T259" t="s">
        <v>1</v>
      </c>
      <c r="U259" t="s">
        <v>1</v>
      </c>
      <c r="V259" t="s">
        <v>1</v>
      </c>
      <c r="W259" t="s">
        <v>1</v>
      </c>
      <c r="X259" t="s">
        <v>1</v>
      </c>
      <c r="Y259" t="s">
        <v>1</v>
      </c>
      <c r="Z259" t="s">
        <v>1</v>
      </c>
      <c r="AA259" t="s">
        <v>1</v>
      </c>
      <c r="AB259" t="s">
        <v>1</v>
      </c>
      <c r="AC259" t="s">
        <v>1</v>
      </c>
      <c r="AD259" t="s">
        <v>1</v>
      </c>
      <c r="AE259" t="s">
        <v>1</v>
      </c>
      <c r="AF259" t="s">
        <v>1</v>
      </c>
      <c r="AG259" t="s">
        <v>1</v>
      </c>
      <c r="AH259" t="s">
        <v>1</v>
      </c>
      <c r="AI259" t="s">
        <v>1</v>
      </c>
      <c r="AJ259" t="s">
        <v>1</v>
      </c>
      <c r="AK259" t="s">
        <v>1</v>
      </c>
      <c r="AL259" t="s">
        <v>1</v>
      </c>
      <c r="AM259" t="s">
        <v>1</v>
      </c>
      <c r="AN259">
        <v>227</v>
      </c>
      <c r="AO259">
        <f t="shared" si="36"/>
        <v>227</v>
      </c>
      <c r="AP259">
        <f t="shared" si="40"/>
        <v>39</v>
      </c>
      <c r="AQ259">
        <f t="shared" si="41"/>
        <v>39</v>
      </c>
      <c r="AR259" s="26" t="s">
        <v>1355</v>
      </c>
      <c r="AS259" s="26" t="s">
        <v>1356</v>
      </c>
      <c r="AT259" t="s">
        <v>710</v>
      </c>
      <c r="AU259" t="s">
        <v>1</v>
      </c>
      <c r="AV259" t="s">
        <v>1</v>
      </c>
      <c r="AW259">
        <v>31.29</v>
      </c>
      <c r="AX259">
        <v>119.9</v>
      </c>
      <c r="AY259" t="s">
        <v>737</v>
      </c>
      <c r="BA259" s="3">
        <v>3</v>
      </c>
      <c r="BB259" s="3"/>
      <c r="BC259" s="3"/>
      <c r="BD259" s="3"/>
      <c r="BE259" s="3"/>
      <c r="BF259">
        <v>2011</v>
      </c>
      <c r="BG259" s="24" t="s">
        <v>733</v>
      </c>
      <c r="BH259" s="24" t="s">
        <v>733</v>
      </c>
      <c r="BI259" s="24" t="s">
        <v>733</v>
      </c>
      <c r="BJ259" s="24" t="s">
        <v>732</v>
      </c>
      <c r="BK259" s="24" t="s">
        <v>733</v>
      </c>
      <c r="BL259" s="25" t="s">
        <v>733</v>
      </c>
      <c r="BM259" s="24" t="s">
        <v>733</v>
      </c>
      <c r="BN259" s="24" t="s">
        <v>732</v>
      </c>
      <c r="BO259" s="24" t="s">
        <v>733</v>
      </c>
      <c r="BP259" s="24" t="s">
        <v>733</v>
      </c>
      <c r="BQ259" s="24" t="s">
        <v>945</v>
      </c>
      <c r="BR259" s="24" t="s">
        <v>945</v>
      </c>
      <c r="BS259" s="25" t="s">
        <v>934</v>
      </c>
      <c r="BT259" s="24" t="s">
        <v>934</v>
      </c>
      <c r="BU259" s="24" t="s">
        <v>934</v>
      </c>
      <c r="BV259" s="24" t="s">
        <v>934</v>
      </c>
      <c r="BW259" s="24" t="s">
        <v>934</v>
      </c>
      <c r="BX259" s="24" t="s">
        <v>934</v>
      </c>
      <c r="BY259" s="25" t="s">
        <v>945</v>
      </c>
      <c r="BZ259" t="s">
        <v>1410</v>
      </c>
      <c r="CB259" t="s">
        <v>118</v>
      </c>
      <c r="CC259" s="4">
        <f>4.61*1000</f>
        <v>4610</v>
      </c>
      <c r="CD259" s="4"/>
      <c r="CE259" s="4"/>
      <c r="CF259" t="s">
        <v>793</v>
      </c>
      <c r="CG259">
        <v>100</v>
      </c>
      <c r="CH259" t="s">
        <v>805</v>
      </c>
      <c r="CI259" s="28">
        <v>0.4</v>
      </c>
      <c r="CJ259" s="9" t="s">
        <v>1</v>
      </c>
      <c r="CK259" t="s">
        <v>807</v>
      </c>
      <c r="CL259" s="4">
        <f>7.47*1000-4610</f>
        <v>2860</v>
      </c>
      <c r="CM259" t="s">
        <v>847</v>
      </c>
      <c r="CN259" s="4">
        <v>85.1</v>
      </c>
      <c r="CO259" s="4" t="s">
        <v>1</v>
      </c>
      <c r="CP259" s="4" t="s">
        <v>1</v>
      </c>
      <c r="CQ259" s="4" t="s">
        <v>1</v>
      </c>
      <c r="CR259" s="4" t="s">
        <v>1</v>
      </c>
      <c r="CS259" s="4" t="s">
        <v>1</v>
      </c>
      <c r="CT259" s="4" t="s">
        <v>1</v>
      </c>
      <c r="CU259" s="4" t="s">
        <v>1</v>
      </c>
      <c r="CV259" t="s">
        <v>856</v>
      </c>
      <c r="CW259">
        <v>100</v>
      </c>
      <c r="CX259">
        <v>0</v>
      </c>
      <c r="CY259">
        <v>15</v>
      </c>
      <c r="CZ259" s="26" t="s">
        <v>1358</v>
      </c>
      <c r="DA259" t="s">
        <v>734</v>
      </c>
      <c r="DB259">
        <v>8.3000000000000007</v>
      </c>
      <c r="DC259">
        <v>0</v>
      </c>
      <c r="DD259">
        <v>15</v>
      </c>
      <c r="DE259" s="26" t="s">
        <v>1358</v>
      </c>
      <c r="DF259" t="s">
        <v>735</v>
      </c>
      <c r="DG259">
        <v>81.5</v>
      </c>
      <c r="DH259">
        <v>0</v>
      </c>
      <c r="DI259">
        <v>15</v>
      </c>
      <c r="DJ259" s="26" t="s">
        <v>1358</v>
      </c>
      <c r="DK259" t="s">
        <v>736</v>
      </c>
      <c r="DL259">
        <v>10.199999999999999</v>
      </c>
      <c r="DM259">
        <v>0</v>
      </c>
      <c r="DN259">
        <v>15</v>
      </c>
      <c r="DO259" s="26" t="s">
        <v>1358</v>
      </c>
      <c r="DP259" t="s">
        <v>6</v>
      </c>
      <c r="DQ259" t="s">
        <v>1</v>
      </c>
      <c r="DR259">
        <v>6.2</v>
      </c>
      <c r="DS259">
        <v>0</v>
      </c>
      <c r="DT259">
        <v>15</v>
      </c>
      <c r="DU259" s="26" t="s">
        <v>1358</v>
      </c>
      <c r="EA259" t="s">
        <v>982</v>
      </c>
      <c r="EB259">
        <v>7.3</v>
      </c>
      <c r="EC259">
        <v>0</v>
      </c>
      <c r="ED259">
        <v>15</v>
      </c>
      <c r="EE259" s="26" t="s">
        <v>1358</v>
      </c>
      <c r="EF259" s="26"/>
      <c r="FZ259" t="s">
        <v>806</v>
      </c>
      <c r="GA259">
        <v>1255.4000000000001</v>
      </c>
      <c r="GE259" s="26" t="s">
        <v>1358</v>
      </c>
      <c r="HA259" s="5" t="s">
        <v>1</v>
      </c>
      <c r="HB259" s="4" t="s">
        <v>1</v>
      </c>
      <c r="HC259" t="s">
        <v>1</v>
      </c>
      <c r="HD259" t="s">
        <v>1</v>
      </c>
      <c r="HE259" t="s">
        <v>1</v>
      </c>
      <c r="HF259" s="5" t="s">
        <v>1063</v>
      </c>
      <c r="HG259" s="4">
        <v>0.64</v>
      </c>
      <c r="HH259">
        <v>0</v>
      </c>
      <c r="HI259">
        <v>15</v>
      </c>
      <c r="HJ259" s="26" t="s">
        <v>1358</v>
      </c>
      <c r="HK259" t="s">
        <v>1</v>
      </c>
      <c r="HL259" t="s">
        <v>1</v>
      </c>
      <c r="HM259" t="s">
        <v>1</v>
      </c>
      <c r="HN259" t="s">
        <v>1</v>
      </c>
      <c r="HO259" t="s">
        <v>1</v>
      </c>
      <c r="HP259" t="s">
        <v>1</v>
      </c>
      <c r="HZ259" t="s">
        <v>1</v>
      </c>
      <c r="IA259" t="s">
        <v>1</v>
      </c>
      <c r="IB259" s="10" t="s">
        <v>1</v>
      </c>
      <c r="IC259" s="10"/>
      <c r="ID259" s="10"/>
      <c r="IE259" s="10" t="s">
        <v>1</v>
      </c>
      <c r="IF259" s="10" t="s">
        <v>1</v>
      </c>
      <c r="IG259" s="10"/>
      <c r="IH259" s="10"/>
      <c r="II259" s="10"/>
      <c r="IJ259" s="10"/>
      <c r="IK259" s="10"/>
      <c r="IL259" s="10"/>
      <c r="IM259" s="10"/>
      <c r="IN259" s="10"/>
      <c r="IO259" s="10"/>
      <c r="IP259" s="10"/>
      <c r="IQ259" s="10"/>
      <c r="IR259" s="10"/>
      <c r="IS259" t="s">
        <v>1</v>
      </c>
      <c r="IT259" t="s">
        <v>1</v>
      </c>
      <c r="IW259" t="s">
        <v>1</v>
      </c>
      <c r="IX259" t="s">
        <v>1</v>
      </c>
      <c r="IY259" t="s">
        <v>808</v>
      </c>
      <c r="IZ259">
        <v>6524</v>
      </c>
      <c r="JA259" t="s">
        <v>1</v>
      </c>
      <c r="JB259" s="3" t="s">
        <v>1</v>
      </c>
      <c r="JC259" t="s">
        <v>1</v>
      </c>
      <c r="JD259" s="4" t="s">
        <v>1</v>
      </c>
      <c r="JE259" t="s">
        <v>810</v>
      </c>
      <c r="JF259">
        <v>100</v>
      </c>
      <c r="JR259" t="s">
        <v>1066</v>
      </c>
      <c r="JS259">
        <v>0.1</v>
      </c>
      <c r="JU259" t="s">
        <v>1</v>
      </c>
      <c r="JW259" t="s">
        <v>842</v>
      </c>
      <c r="JX259">
        <v>0</v>
      </c>
      <c r="JY259">
        <v>40</v>
      </c>
      <c r="JZ259" t="s">
        <v>796</v>
      </c>
      <c r="KA259" t="s">
        <v>272</v>
      </c>
      <c r="KB259" t="s">
        <v>738</v>
      </c>
      <c r="KC259" t="s">
        <v>1067</v>
      </c>
      <c r="KD259" s="1">
        <v>0.85</v>
      </c>
      <c r="KE259" s="1">
        <v>0.16</v>
      </c>
      <c r="KF259" t="s">
        <v>842</v>
      </c>
      <c r="KG259">
        <v>0</v>
      </c>
      <c r="KH259">
        <v>40</v>
      </c>
      <c r="KI259" t="s">
        <v>796</v>
      </c>
      <c r="KJ259" t="s">
        <v>272</v>
      </c>
      <c r="KK259" t="s">
        <v>738</v>
      </c>
    </row>
    <row r="260" spans="1:297" x14ac:dyDescent="0.2">
      <c r="A260">
        <v>228</v>
      </c>
      <c r="B260" t="s">
        <v>705</v>
      </c>
      <c r="C260" t="s">
        <v>273</v>
      </c>
      <c r="D260" t="s">
        <v>270</v>
      </c>
      <c r="E260">
        <v>39</v>
      </c>
      <c r="F260" t="s">
        <v>1328</v>
      </c>
      <c r="G260" t="s">
        <v>1</v>
      </c>
      <c r="H260" s="26" t="s">
        <v>1420</v>
      </c>
      <c r="I260" t="s">
        <v>1</v>
      </c>
      <c r="J260" t="s">
        <v>1</v>
      </c>
      <c r="K260" t="s">
        <v>1</v>
      </c>
      <c r="L260" t="s">
        <v>1</v>
      </c>
      <c r="M260" t="s">
        <v>1</v>
      </c>
      <c r="N260" t="s">
        <v>1</v>
      </c>
      <c r="O260" t="s">
        <v>1</v>
      </c>
      <c r="P260" t="s">
        <v>1</v>
      </c>
      <c r="Q260" t="s">
        <v>1</v>
      </c>
      <c r="R260" t="s">
        <v>1</v>
      </c>
      <c r="S260" t="s">
        <v>1</v>
      </c>
      <c r="T260" t="s">
        <v>1</v>
      </c>
      <c r="U260" t="s">
        <v>1</v>
      </c>
      <c r="V260" t="s">
        <v>1</v>
      </c>
      <c r="W260" t="s">
        <v>1</v>
      </c>
      <c r="X260" t="s">
        <v>1</v>
      </c>
      <c r="Y260" t="s">
        <v>1</v>
      </c>
      <c r="Z260" t="s">
        <v>1</v>
      </c>
      <c r="AA260" t="s">
        <v>1</v>
      </c>
      <c r="AB260" t="s">
        <v>1</v>
      </c>
      <c r="AC260" t="s">
        <v>1</v>
      </c>
      <c r="AD260" t="s">
        <v>1</v>
      </c>
      <c r="AE260" t="s">
        <v>1</v>
      </c>
      <c r="AF260" t="s">
        <v>1</v>
      </c>
      <c r="AG260" t="s">
        <v>1</v>
      </c>
      <c r="AH260" t="s">
        <v>1</v>
      </c>
      <c r="AI260" t="s">
        <v>1</v>
      </c>
      <c r="AJ260" t="s">
        <v>1</v>
      </c>
      <c r="AK260" t="s">
        <v>1</v>
      </c>
      <c r="AL260" t="s">
        <v>1</v>
      </c>
      <c r="AM260" t="s">
        <v>1</v>
      </c>
      <c r="AN260">
        <v>228</v>
      </c>
      <c r="AO260">
        <f t="shared" si="36"/>
        <v>228</v>
      </c>
      <c r="AP260">
        <f t="shared" si="40"/>
        <v>39</v>
      </c>
      <c r="AQ260">
        <f t="shared" si="41"/>
        <v>39</v>
      </c>
      <c r="AR260" s="26" t="s">
        <v>1355</v>
      </c>
      <c r="AS260" s="26" t="s">
        <v>1356</v>
      </c>
      <c r="AT260" t="s">
        <v>710</v>
      </c>
      <c r="AU260" t="s">
        <v>1</v>
      </c>
      <c r="AV260" t="s">
        <v>1</v>
      </c>
      <c r="AW260">
        <v>31.29</v>
      </c>
      <c r="AX260">
        <v>119.9</v>
      </c>
      <c r="AY260" t="s">
        <v>737</v>
      </c>
      <c r="BA260" s="3">
        <v>3</v>
      </c>
      <c r="BB260" s="3"/>
      <c r="BC260" s="3"/>
      <c r="BD260" s="3"/>
      <c r="BE260" s="3"/>
      <c r="BF260">
        <v>2011</v>
      </c>
      <c r="BG260" s="24" t="s">
        <v>733</v>
      </c>
      <c r="BH260" s="24" t="s">
        <v>733</v>
      </c>
      <c r="BI260" s="24" t="s">
        <v>733</v>
      </c>
      <c r="BJ260" s="24" t="s">
        <v>732</v>
      </c>
      <c r="BK260" s="24" t="s">
        <v>733</v>
      </c>
      <c r="BL260" s="25" t="s">
        <v>733</v>
      </c>
      <c r="BM260" s="24" t="s">
        <v>733</v>
      </c>
      <c r="BN260" s="24" t="s">
        <v>732</v>
      </c>
      <c r="BO260" s="24" t="s">
        <v>733</v>
      </c>
      <c r="BP260" s="24" t="s">
        <v>733</v>
      </c>
      <c r="BQ260" s="24" t="s">
        <v>945</v>
      </c>
      <c r="BR260" s="24" t="s">
        <v>945</v>
      </c>
      <c r="BS260" s="25" t="s">
        <v>934</v>
      </c>
      <c r="BT260" s="24" t="s">
        <v>934</v>
      </c>
      <c r="BU260" s="24" t="s">
        <v>934</v>
      </c>
      <c r="BV260" s="24" t="s">
        <v>934</v>
      </c>
      <c r="BW260" s="24" t="s">
        <v>934</v>
      </c>
      <c r="BX260" s="24" t="s">
        <v>934</v>
      </c>
      <c r="BY260" s="25" t="s">
        <v>945</v>
      </c>
      <c r="BZ260" t="s">
        <v>1410</v>
      </c>
      <c r="CB260" t="s">
        <v>118</v>
      </c>
      <c r="CC260" s="4">
        <f>7.69*1000</f>
        <v>7690</v>
      </c>
      <c r="CD260" s="4"/>
      <c r="CE260" s="4"/>
      <c r="CF260" t="s">
        <v>793</v>
      </c>
      <c r="CG260">
        <v>100</v>
      </c>
      <c r="CH260" t="s">
        <v>805</v>
      </c>
      <c r="CI260" s="28">
        <v>0.4</v>
      </c>
      <c r="CJ260" s="9" t="s">
        <v>1</v>
      </c>
      <c r="CK260" t="s">
        <v>807</v>
      </c>
      <c r="CL260" s="4">
        <f>12.57*1000-7690</f>
        <v>4880</v>
      </c>
      <c r="CM260" t="s">
        <v>847</v>
      </c>
      <c r="CN260" s="4">
        <f>85.1+81.1</f>
        <v>166.2</v>
      </c>
      <c r="CO260" s="4" t="s">
        <v>1</v>
      </c>
      <c r="CP260" s="4" t="s">
        <v>1</v>
      </c>
      <c r="CQ260" s="4" t="s">
        <v>1</v>
      </c>
      <c r="CR260" s="4" t="s">
        <v>1</v>
      </c>
      <c r="CS260" s="4" t="s">
        <v>1</v>
      </c>
      <c r="CT260" s="4" t="s">
        <v>1</v>
      </c>
      <c r="CU260" s="4" t="s">
        <v>1</v>
      </c>
      <c r="CV260" t="s">
        <v>856</v>
      </c>
      <c r="CW260">
        <v>100</v>
      </c>
      <c r="CX260">
        <v>0</v>
      </c>
      <c r="CY260">
        <v>15</v>
      </c>
      <c r="CZ260" s="26" t="s">
        <v>1358</v>
      </c>
      <c r="DA260" t="s">
        <v>734</v>
      </c>
      <c r="DB260">
        <v>8.3000000000000007</v>
      </c>
      <c r="DC260">
        <v>0</v>
      </c>
      <c r="DD260">
        <v>15</v>
      </c>
      <c r="DE260" s="26" t="s">
        <v>1358</v>
      </c>
      <c r="DF260" t="s">
        <v>735</v>
      </c>
      <c r="DG260">
        <v>81.5</v>
      </c>
      <c r="DH260">
        <v>0</v>
      </c>
      <c r="DI260">
        <v>15</v>
      </c>
      <c r="DJ260" s="26" t="s">
        <v>1358</v>
      </c>
      <c r="DK260" t="s">
        <v>736</v>
      </c>
      <c r="DL260">
        <v>10.199999999999999</v>
      </c>
      <c r="DM260">
        <v>0</v>
      </c>
      <c r="DN260">
        <v>15</v>
      </c>
      <c r="DO260" s="26" t="s">
        <v>1358</v>
      </c>
      <c r="DP260" t="s">
        <v>6</v>
      </c>
      <c r="DQ260" t="s">
        <v>1</v>
      </c>
      <c r="DR260">
        <v>6.2</v>
      </c>
      <c r="DS260">
        <v>0</v>
      </c>
      <c r="DT260">
        <v>15</v>
      </c>
      <c r="DU260" s="26" t="s">
        <v>1358</v>
      </c>
      <c r="EA260" t="s">
        <v>982</v>
      </c>
      <c r="EB260">
        <v>7.3</v>
      </c>
      <c r="EC260">
        <v>0</v>
      </c>
      <c r="ED260">
        <v>15</v>
      </c>
      <c r="EE260" s="26" t="s">
        <v>1358</v>
      </c>
      <c r="EF260" s="26"/>
      <c r="FZ260" t="s">
        <v>806</v>
      </c>
      <c r="GA260">
        <v>1255.4000000000001</v>
      </c>
      <c r="GE260" s="26" t="s">
        <v>1358</v>
      </c>
      <c r="HA260" s="5" t="s">
        <v>1</v>
      </c>
      <c r="HB260" s="4" t="s">
        <v>1</v>
      </c>
      <c r="HC260" t="s">
        <v>1</v>
      </c>
      <c r="HD260" t="s">
        <v>1</v>
      </c>
      <c r="HE260" t="s">
        <v>1</v>
      </c>
      <c r="HF260" s="5" t="s">
        <v>1063</v>
      </c>
      <c r="HG260" s="4">
        <v>0.64</v>
      </c>
      <c r="HH260">
        <v>0</v>
      </c>
      <c r="HI260">
        <v>15</v>
      </c>
      <c r="HJ260" s="26" t="s">
        <v>1358</v>
      </c>
      <c r="HK260" t="s">
        <v>1</v>
      </c>
      <c r="HL260" t="s">
        <v>1</v>
      </c>
      <c r="HM260" t="s">
        <v>1</v>
      </c>
      <c r="HN260" t="s">
        <v>1</v>
      </c>
      <c r="HO260" t="s">
        <v>1</v>
      </c>
      <c r="HP260" t="s">
        <v>1</v>
      </c>
      <c r="HZ260" t="s">
        <v>1295</v>
      </c>
      <c r="IA260">
        <v>135</v>
      </c>
      <c r="IB260" s="10" t="s">
        <v>822</v>
      </c>
      <c r="IC260" s="10"/>
      <c r="ID260" s="10"/>
      <c r="IE260" s="10" t="s">
        <v>1</v>
      </c>
      <c r="IF260" s="10" t="s">
        <v>1</v>
      </c>
      <c r="IG260" s="10"/>
      <c r="IH260" s="10"/>
      <c r="II260" s="10"/>
      <c r="IJ260" s="10"/>
      <c r="IK260" s="10"/>
      <c r="IL260" s="10"/>
      <c r="IM260" s="10"/>
      <c r="IN260" s="10"/>
      <c r="IO260" s="10"/>
      <c r="IP260" s="10"/>
      <c r="IQ260" s="10"/>
      <c r="IR260" s="10"/>
      <c r="IS260" t="s">
        <v>1</v>
      </c>
      <c r="IT260" t="s">
        <v>1</v>
      </c>
      <c r="IW260" t="s">
        <v>1</v>
      </c>
      <c r="IX260" t="s">
        <v>1</v>
      </c>
      <c r="IY260" t="s">
        <v>808</v>
      </c>
      <c r="IZ260">
        <v>6524</v>
      </c>
      <c r="JA260" t="s">
        <v>1</v>
      </c>
      <c r="JB260" s="3" t="s">
        <v>1</v>
      </c>
      <c r="JC260" t="s">
        <v>1</v>
      </c>
      <c r="JD260" s="4" t="s">
        <v>1</v>
      </c>
      <c r="JE260" t="s">
        <v>810</v>
      </c>
      <c r="JF260">
        <v>100</v>
      </c>
      <c r="JR260" t="s">
        <v>1066</v>
      </c>
      <c r="JS260">
        <v>0.7</v>
      </c>
      <c r="JU260" t="s">
        <v>1</v>
      </c>
      <c r="JW260" t="s">
        <v>842</v>
      </c>
      <c r="JX260">
        <v>0</v>
      </c>
      <c r="JY260">
        <v>40</v>
      </c>
      <c r="JZ260" t="s">
        <v>796</v>
      </c>
      <c r="KA260" t="s">
        <v>272</v>
      </c>
      <c r="KB260" t="s">
        <v>738</v>
      </c>
      <c r="KC260" t="s">
        <v>1067</v>
      </c>
      <c r="KD260" s="1">
        <v>1.85</v>
      </c>
      <c r="KE260" s="1">
        <v>0.37</v>
      </c>
      <c r="KF260" t="s">
        <v>842</v>
      </c>
      <c r="KG260">
        <v>0</v>
      </c>
      <c r="KH260">
        <v>40</v>
      </c>
      <c r="KI260" t="s">
        <v>796</v>
      </c>
      <c r="KJ260" t="s">
        <v>272</v>
      </c>
      <c r="KK260" t="s">
        <v>738</v>
      </c>
    </row>
    <row r="261" spans="1:297" x14ac:dyDescent="0.2">
      <c r="A261">
        <v>229</v>
      </c>
      <c r="B261" t="s">
        <v>705</v>
      </c>
      <c r="C261" t="s">
        <v>274</v>
      </c>
      <c r="D261" t="s">
        <v>270</v>
      </c>
      <c r="E261">
        <v>39</v>
      </c>
      <c r="F261" t="s">
        <v>1328</v>
      </c>
      <c r="G261" t="s">
        <v>1</v>
      </c>
      <c r="H261" s="26" t="s">
        <v>1420</v>
      </c>
      <c r="I261" t="s">
        <v>1</v>
      </c>
      <c r="J261" t="s">
        <v>1</v>
      </c>
      <c r="K261" t="s">
        <v>1</v>
      </c>
      <c r="L261" t="s">
        <v>1</v>
      </c>
      <c r="M261" t="s">
        <v>1</v>
      </c>
      <c r="N261" t="s">
        <v>1</v>
      </c>
      <c r="O261" t="s">
        <v>1</v>
      </c>
      <c r="P261" t="s">
        <v>1</v>
      </c>
      <c r="Q261" t="s">
        <v>1</v>
      </c>
      <c r="R261" t="s">
        <v>1</v>
      </c>
      <c r="S261" t="s">
        <v>1</v>
      </c>
      <c r="T261" t="s">
        <v>1</v>
      </c>
      <c r="U261" t="s">
        <v>1</v>
      </c>
      <c r="V261" t="s">
        <v>1</v>
      </c>
      <c r="W261" t="s">
        <v>1</v>
      </c>
      <c r="X261" t="s">
        <v>1</v>
      </c>
      <c r="Y261" t="s">
        <v>1</v>
      </c>
      <c r="Z261" t="s">
        <v>1</v>
      </c>
      <c r="AA261" t="s">
        <v>1</v>
      </c>
      <c r="AB261" t="s">
        <v>1</v>
      </c>
      <c r="AC261" t="s">
        <v>1</v>
      </c>
      <c r="AD261" t="s">
        <v>1</v>
      </c>
      <c r="AE261" t="s">
        <v>1</v>
      </c>
      <c r="AF261" t="s">
        <v>1</v>
      </c>
      <c r="AG261" t="s">
        <v>1</v>
      </c>
      <c r="AH261" t="s">
        <v>1</v>
      </c>
      <c r="AI261" t="s">
        <v>1</v>
      </c>
      <c r="AJ261" t="s">
        <v>1</v>
      </c>
      <c r="AK261" t="s">
        <v>1</v>
      </c>
      <c r="AL261" t="s">
        <v>1</v>
      </c>
      <c r="AM261" t="s">
        <v>1</v>
      </c>
      <c r="AN261">
        <v>229</v>
      </c>
      <c r="AO261">
        <f t="shared" si="36"/>
        <v>229</v>
      </c>
      <c r="AP261">
        <f t="shared" si="40"/>
        <v>39</v>
      </c>
      <c r="AQ261">
        <f t="shared" si="41"/>
        <v>39</v>
      </c>
      <c r="AR261" s="26" t="s">
        <v>1355</v>
      </c>
      <c r="AS261" s="26" t="s">
        <v>1356</v>
      </c>
      <c r="AT261" t="s">
        <v>710</v>
      </c>
      <c r="AU261" t="s">
        <v>1</v>
      </c>
      <c r="AV261" t="s">
        <v>1</v>
      </c>
      <c r="AW261">
        <v>31.29</v>
      </c>
      <c r="AX261">
        <v>119.9</v>
      </c>
      <c r="AY261" t="s">
        <v>737</v>
      </c>
      <c r="BA261" s="3">
        <v>3</v>
      </c>
      <c r="BB261" s="3"/>
      <c r="BC261" s="3"/>
      <c r="BD261" s="3"/>
      <c r="BE261" s="3"/>
      <c r="BF261">
        <v>2011</v>
      </c>
      <c r="BG261" s="24" t="s">
        <v>733</v>
      </c>
      <c r="BH261" s="24" t="s">
        <v>733</v>
      </c>
      <c r="BI261" s="24" t="s">
        <v>733</v>
      </c>
      <c r="BJ261" s="24" t="s">
        <v>732</v>
      </c>
      <c r="BK261" s="24" t="s">
        <v>733</v>
      </c>
      <c r="BL261" s="25" t="s">
        <v>733</v>
      </c>
      <c r="BM261" s="24" t="s">
        <v>733</v>
      </c>
      <c r="BN261" s="24" t="s">
        <v>732</v>
      </c>
      <c r="BO261" s="24" t="s">
        <v>733</v>
      </c>
      <c r="BP261" s="24" t="s">
        <v>733</v>
      </c>
      <c r="BQ261" s="24" t="s">
        <v>945</v>
      </c>
      <c r="BR261" s="24" t="s">
        <v>945</v>
      </c>
      <c r="BS261" s="25" t="s">
        <v>934</v>
      </c>
      <c r="BT261" s="24" t="s">
        <v>934</v>
      </c>
      <c r="BU261" s="24" t="s">
        <v>934</v>
      </c>
      <c r="BV261" s="24" t="s">
        <v>934</v>
      </c>
      <c r="BW261" s="24" t="s">
        <v>934</v>
      </c>
      <c r="BX261" s="24" t="s">
        <v>934</v>
      </c>
      <c r="BY261" s="25" t="s">
        <v>945</v>
      </c>
      <c r="BZ261" t="s">
        <v>1410</v>
      </c>
      <c r="CB261" t="s">
        <v>118</v>
      </c>
      <c r="CC261" s="4">
        <f>7.72*1000</f>
        <v>7720</v>
      </c>
      <c r="CD261" s="4"/>
      <c r="CE261" s="4"/>
      <c r="CF261" t="s">
        <v>793</v>
      </c>
      <c r="CG261">
        <v>100</v>
      </c>
      <c r="CH261" t="s">
        <v>805</v>
      </c>
      <c r="CI261" s="28">
        <v>0.4</v>
      </c>
      <c r="CJ261" s="9" t="s">
        <v>1</v>
      </c>
      <c r="CK261" t="s">
        <v>807</v>
      </c>
      <c r="CL261" s="4">
        <f>12.73*1000-7720</f>
        <v>5010</v>
      </c>
      <c r="CM261" t="s">
        <v>847</v>
      </c>
      <c r="CN261" s="4">
        <f>79.8+85.1</f>
        <v>164.89999999999998</v>
      </c>
      <c r="CO261" s="4" t="s">
        <v>1</v>
      </c>
      <c r="CP261" s="4" t="s">
        <v>1</v>
      </c>
      <c r="CQ261" s="4" t="s">
        <v>1</v>
      </c>
      <c r="CR261" s="4" t="s">
        <v>1</v>
      </c>
      <c r="CS261" s="4" t="s">
        <v>1</v>
      </c>
      <c r="CT261" s="4" t="s">
        <v>1</v>
      </c>
      <c r="CU261" s="4" t="s">
        <v>1</v>
      </c>
      <c r="CV261" t="s">
        <v>856</v>
      </c>
      <c r="CW261">
        <v>100</v>
      </c>
      <c r="CX261">
        <v>0</v>
      </c>
      <c r="CY261">
        <v>15</v>
      </c>
      <c r="CZ261" s="26" t="s">
        <v>1358</v>
      </c>
      <c r="DA261" t="s">
        <v>734</v>
      </c>
      <c r="DB261">
        <v>8.3000000000000007</v>
      </c>
      <c r="DC261">
        <v>0</v>
      </c>
      <c r="DD261">
        <v>15</v>
      </c>
      <c r="DE261" s="26" t="s">
        <v>1358</v>
      </c>
      <c r="DF261" t="s">
        <v>735</v>
      </c>
      <c r="DG261">
        <v>81.5</v>
      </c>
      <c r="DH261">
        <v>0</v>
      </c>
      <c r="DI261">
        <v>15</v>
      </c>
      <c r="DJ261" s="26" t="s">
        <v>1358</v>
      </c>
      <c r="DK261" t="s">
        <v>736</v>
      </c>
      <c r="DL261">
        <v>10.199999999999999</v>
      </c>
      <c r="DM261">
        <v>0</v>
      </c>
      <c r="DN261">
        <v>15</v>
      </c>
      <c r="DO261" s="26" t="s">
        <v>1358</v>
      </c>
      <c r="DP261" t="s">
        <v>6</v>
      </c>
      <c r="DQ261" t="s">
        <v>1</v>
      </c>
      <c r="DR261">
        <v>6.2</v>
      </c>
      <c r="DS261">
        <v>0</v>
      </c>
      <c r="DT261">
        <v>15</v>
      </c>
      <c r="DU261" s="26" t="s">
        <v>1358</v>
      </c>
      <c r="EA261" t="s">
        <v>982</v>
      </c>
      <c r="EB261">
        <v>7.3</v>
      </c>
      <c r="EC261">
        <v>0</v>
      </c>
      <c r="ED261">
        <v>15</v>
      </c>
      <c r="EE261" s="26" t="s">
        <v>1358</v>
      </c>
      <c r="EF261" s="26"/>
      <c r="FZ261" t="s">
        <v>806</v>
      </c>
      <c r="GA261">
        <v>1255.4000000000001</v>
      </c>
      <c r="GE261" s="26" t="s">
        <v>1358</v>
      </c>
      <c r="HA261" s="5" t="s">
        <v>1</v>
      </c>
      <c r="HB261" s="4" t="s">
        <v>1</v>
      </c>
      <c r="HC261" t="s">
        <v>1</v>
      </c>
      <c r="HD261" t="s">
        <v>1</v>
      </c>
      <c r="HE261" t="s">
        <v>1</v>
      </c>
      <c r="HF261" s="5" t="s">
        <v>1063</v>
      </c>
      <c r="HG261" s="4">
        <v>0.64</v>
      </c>
      <c r="HH261">
        <v>0</v>
      </c>
      <c r="HI261">
        <v>15</v>
      </c>
      <c r="HJ261" s="26" t="s">
        <v>1358</v>
      </c>
      <c r="HK261" t="s">
        <v>1</v>
      </c>
      <c r="HL261" t="s">
        <v>1</v>
      </c>
      <c r="HM261" t="s">
        <v>1</v>
      </c>
      <c r="HN261" t="s">
        <v>1</v>
      </c>
      <c r="HO261" t="s">
        <v>1</v>
      </c>
      <c r="HP261" t="s">
        <v>1</v>
      </c>
      <c r="HZ261" t="s">
        <v>1295</v>
      </c>
      <c r="IA261">
        <v>189</v>
      </c>
      <c r="IB261" s="10" t="s">
        <v>822</v>
      </c>
      <c r="IC261" s="10"/>
      <c r="ID261" s="10"/>
      <c r="IE261" s="10" t="s">
        <v>1</v>
      </c>
      <c r="IF261" s="10" t="s">
        <v>1</v>
      </c>
      <c r="IG261" s="10"/>
      <c r="IH261" s="10"/>
      <c r="II261" s="10"/>
      <c r="IJ261" s="10"/>
      <c r="IK261" s="10"/>
      <c r="IL261" s="10"/>
      <c r="IM261" s="10"/>
      <c r="IN261" s="10"/>
      <c r="IO261" s="10"/>
      <c r="IP261" s="10"/>
      <c r="IQ261" s="10"/>
      <c r="IR261" s="10"/>
      <c r="IS261" t="s">
        <v>1</v>
      </c>
      <c r="IT261" t="s">
        <v>1</v>
      </c>
      <c r="IW261" t="s">
        <v>1</v>
      </c>
      <c r="IX261" t="s">
        <v>1</v>
      </c>
      <c r="IY261" t="s">
        <v>808</v>
      </c>
      <c r="IZ261">
        <v>6524</v>
      </c>
      <c r="JA261" t="s">
        <v>1</v>
      </c>
      <c r="JB261" s="3" t="s">
        <v>1</v>
      </c>
      <c r="JC261" t="s">
        <v>1</v>
      </c>
      <c r="JD261" s="4" t="s">
        <v>1</v>
      </c>
      <c r="JE261" t="s">
        <v>810</v>
      </c>
      <c r="JF261">
        <v>100</v>
      </c>
      <c r="JR261" t="s">
        <v>1066</v>
      </c>
      <c r="JS261">
        <v>0.4</v>
      </c>
      <c r="JU261" t="s">
        <v>1</v>
      </c>
      <c r="JW261" t="s">
        <v>842</v>
      </c>
      <c r="JX261">
        <v>0</v>
      </c>
      <c r="JY261">
        <v>40</v>
      </c>
      <c r="JZ261" t="s">
        <v>796</v>
      </c>
      <c r="KA261" t="s">
        <v>272</v>
      </c>
      <c r="KB261" t="s">
        <v>738</v>
      </c>
      <c r="KC261" t="s">
        <v>1067</v>
      </c>
      <c r="KD261" s="1">
        <v>1.86</v>
      </c>
      <c r="KE261" s="1">
        <v>0.79</v>
      </c>
      <c r="KF261" t="s">
        <v>842</v>
      </c>
      <c r="KG261">
        <v>0</v>
      </c>
      <c r="KH261">
        <v>40</v>
      </c>
      <c r="KI261" t="s">
        <v>796</v>
      </c>
      <c r="KJ261" t="s">
        <v>272</v>
      </c>
      <c r="KK261" t="s">
        <v>738</v>
      </c>
    </row>
    <row r="262" spans="1:297" x14ac:dyDescent="0.2">
      <c r="A262">
        <v>230</v>
      </c>
      <c r="B262" t="s">
        <v>705</v>
      </c>
      <c r="C262" t="s">
        <v>275</v>
      </c>
      <c r="D262" t="s">
        <v>270</v>
      </c>
      <c r="E262">
        <v>39</v>
      </c>
      <c r="F262" t="s">
        <v>1328</v>
      </c>
      <c r="G262" t="s">
        <v>1</v>
      </c>
      <c r="H262" s="26" t="s">
        <v>1420</v>
      </c>
      <c r="I262" t="s">
        <v>1</v>
      </c>
      <c r="J262" t="s">
        <v>1</v>
      </c>
      <c r="K262" t="s">
        <v>1</v>
      </c>
      <c r="L262" t="s">
        <v>1</v>
      </c>
      <c r="M262" t="s">
        <v>1</v>
      </c>
      <c r="N262" t="s">
        <v>1</v>
      </c>
      <c r="O262" t="s">
        <v>1</v>
      </c>
      <c r="P262" t="s">
        <v>1</v>
      </c>
      <c r="Q262" t="s">
        <v>1</v>
      </c>
      <c r="R262" t="s">
        <v>1</v>
      </c>
      <c r="S262" t="s">
        <v>1</v>
      </c>
      <c r="T262" t="s">
        <v>1</v>
      </c>
      <c r="U262" t="s">
        <v>1</v>
      </c>
      <c r="V262" t="s">
        <v>1</v>
      </c>
      <c r="W262" t="s">
        <v>1</v>
      </c>
      <c r="X262" t="s">
        <v>1</v>
      </c>
      <c r="Y262" t="s">
        <v>1</v>
      </c>
      <c r="Z262" t="s">
        <v>1</v>
      </c>
      <c r="AA262" t="s">
        <v>1</v>
      </c>
      <c r="AB262" t="s">
        <v>1</v>
      </c>
      <c r="AC262" t="s">
        <v>1</v>
      </c>
      <c r="AD262" t="s">
        <v>1</v>
      </c>
      <c r="AE262" t="s">
        <v>1</v>
      </c>
      <c r="AF262" t="s">
        <v>1</v>
      </c>
      <c r="AG262" t="s">
        <v>1</v>
      </c>
      <c r="AH262" t="s">
        <v>1</v>
      </c>
      <c r="AI262" t="s">
        <v>1</v>
      </c>
      <c r="AJ262" t="s">
        <v>1</v>
      </c>
      <c r="AK262" t="s">
        <v>1</v>
      </c>
      <c r="AL262" t="s">
        <v>1</v>
      </c>
      <c r="AM262" t="s">
        <v>1</v>
      </c>
      <c r="AN262">
        <v>230</v>
      </c>
      <c r="AO262">
        <f t="shared" si="36"/>
        <v>230</v>
      </c>
      <c r="AP262">
        <f t="shared" si="40"/>
        <v>39</v>
      </c>
      <c r="AQ262">
        <f t="shared" si="41"/>
        <v>39</v>
      </c>
      <c r="AR262" s="26" t="s">
        <v>1355</v>
      </c>
      <c r="AS262" s="26" t="s">
        <v>1356</v>
      </c>
      <c r="AT262" t="s">
        <v>710</v>
      </c>
      <c r="AU262" t="s">
        <v>1</v>
      </c>
      <c r="AV262" t="s">
        <v>1</v>
      </c>
      <c r="AW262">
        <v>31.29</v>
      </c>
      <c r="AX262">
        <v>119.9</v>
      </c>
      <c r="AY262" t="s">
        <v>737</v>
      </c>
      <c r="BA262" s="3">
        <v>3</v>
      </c>
      <c r="BB262" s="3"/>
      <c r="BC262" s="3"/>
      <c r="BD262" s="3"/>
      <c r="BE262" s="3"/>
      <c r="BF262">
        <v>2011</v>
      </c>
      <c r="BG262" s="24" t="s">
        <v>733</v>
      </c>
      <c r="BH262" s="24" t="s">
        <v>733</v>
      </c>
      <c r="BI262" s="24" t="s">
        <v>733</v>
      </c>
      <c r="BJ262" s="24" t="s">
        <v>732</v>
      </c>
      <c r="BK262" s="24" t="s">
        <v>733</v>
      </c>
      <c r="BL262" s="25" t="s">
        <v>733</v>
      </c>
      <c r="BM262" s="24" t="s">
        <v>733</v>
      </c>
      <c r="BN262" s="24" t="s">
        <v>732</v>
      </c>
      <c r="BO262" s="24" t="s">
        <v>733</v>
      </c>
      <c r="BP262" s="24" t="s">
        <v>733</v>
      </c>
      <c r="BQ262" s="24" t="s">
        <v>945</v>
      </c>
      <c r="BR262" s="24" t="s">
        <v>945</v>
      </c>
      <c r="BS262" s="25" t="s">
        <v>934</v>
      </c>
      <c r="BT262" s="24" t="s">
        <v>934</v>
      </c>
      <c r="BU262" s="24" t="s">
        <v>934</v>
      </c>
      <c r="BV262" s="24" t="s">
        <v>934</v>
      </c>
      <c r="BW262" s="24" t="s">
        <v>934</v>
      </c>
      <c r="BX262" s="24" t="s">
        <v>934</v>
      </c>
      <c r="BY262" s="25" t="s">
        <v>945</v>
      </c>
      <c r="BZ262" t="s">
        <v>1410</v>
      </c>
      <c r="CB262" t="s">
        <v>118</v>
      </c>
      <c r="CC262" s="4">
        <f>6.79*1000</f>
        <v>6790</v>
      </c>
      <c r="CD262" s="4"/>
      <c r="CE262" s="4"/>
      <c r="CF262" t="s">
        <v>793</v>
      </c>
      <c r="CG262">
        <v>100</v>
      </c>
      <c r="CH262" t="s">
        <v>805</v>
      </c>
      <c r="CI262" s="28">
        <v>0.4</v>
      </c>
      <c r="CJ262" s="9" t="s">
        <v>1</v>
      </c>
      <c r="CK262" t="s">
        <v>807</v>
      </c>
      <c r="CL262" s="4">
        <f>13.97*1000-6790</f>
        <v>7180</v>
      </c>
      <c r="CM262" t="s">
        <v>847</v>
      </c>
      <c r="CN262" s="4">
        <f>85.1+77.4</f>
        <v>162.5</v>
      </c>
      <c r="CO262" s="4" t="s">
        <v>1</v>
      </c>
      <c r="CP262" s="4" t="s">
        <v>1</v>
      </c>
      <c r="CQ262" s="4" t="s">
        <v>1</v>
      </c>
      <c r="CR262" s="4" t="s">
        <v>1</v>
      </c>
      <c r="CS262" s="4" t="s">
        <v>1</v>
      </c>
      <c r="CT262" s="4" t="s">
        <v>1</v>
      </c>
      <c r="CU262" s="4" t="s">
        <v>1</v>
      </c>
      <c r="CV262" t="s">
        <v>856</v>
      </c>
      <c r="CW262">
        <v>100</v>
      </c>
      <c r="CX262">
        <v>0</v>
      </c>
      <c r="CY262">
        <v>15</v>
      </c>
      <c r="CZ262" s="26" t="s">
        <v>1358</v>
      </c>
      <c r="DA262" t="s">
        <v>734</v>
      </c>
      <c r="DB262">
        <v>8.3000000000000007</v>
      </c>
      <c r="DC262">
        <v>0</v>
      </c>
      <c r="DD262">
        <v>15</v>
      </c>
      <c r="DE262" s="26" t="s">
        <v>1358</v>
      </c>
      <c r="DF262" t="s">
        <v>735</v>
      </c>
      <c r="DG262">
        <v>81.5</v>
      </c>
      <c r="DH262">
        <v>0</v>
      </c>
      <c r="DI262">
        <v>15</v>
      </c>
      <c r="DJ262" s="26" t="s">
        <v>1358</v>
      </c>
      <c r="DK262" t="s">
        <v>736</v>
      </c>
      <c r="DL262">
        <v>10.199999999999999</v>
      </c>
      <c r="DM262">
        <v>0</v>
      </c>
      <c r="DN262">
        <v>15</v>
      </c>
      <c r="DO262" s="26" t="s">
        <v>1358</v>
      </c>
      <c r="DP262" t="s">
        <v>6</v>
      </c>
      <c r="DQ262" t="s">
        <v>1</v>
      </c>
      <c r="DR262">
        <v>6.2</v>
      </c>
      <c r="DS262">
        <v>0</v>
      </c>
      <c r="DT262">
        <v>15</v>
      </c>
      <c r="DU262" s="26" t="s">
        <v>1358</v>
      </c>
      <c r="EA262" t="s">
        <v>982</v>
      </c>
      <c r="EB262">
        <v>7.3</v>
      </c>
      <c r="EC262">
        <v>0</v>
      </c>
      <c r="ED262">
        <v>15</v>
      </c>
      <c r="EE262" s="26" t="s">
        <v>1358</v>
      </c>
      <c r="EF262" s="26"/>
      <c r="FZ262" t="s">
        <v>806</v>
      </c>
      <c r="GA262">
        <v>1255.4000000000001</v>
      </c>
      <c r="GE262" s="26" t="s">
        <v>1358</v>
      </c>
      <c r="HA262" s="5" t="s">
        <v>1</v>
      </c>
      <c r="HB262" s="4" t="s">
        <v>1</v>
      </c>
      <c r="HC262" t="s">
        <v>1</v>
      </c>
      <c r="HD262" t="s">
        <v>1</v>
      </c>
      <c r="HE262" t="s">
        <v>1</v>
      </c>
      <c r="HF262" s="5" t="s">
        <v>1063</v>
      </c>
      <c r="HG262" s="4">
        <v>0.64</v>
      </c>
      <c r="HH262">
        <v>0</v>
      </c>
      <c r="HI262">
        <v>15</v>
      </c>
      <c r="HJ262" s="26" t="s">
        <v>1358</v>
      </c>
      <c r="HK262" t="s">
        <v>1</v>
      </c>
      <c r="HL262" t="s">
        <v>1</v>
      </c>
      <c r="HM262" t="s">
        <v>1</v>
      </c>
      <c r="HN262" t="s">
        <v>1</v>
      </c>
      <c r="HO262" t="s">
        <v>1</v>
      </c>
      <c r="HP262" t="s">
        <v>1</v>
      </c>
      <c r="HZ262" t="s">
        <v>1295</v>
      </c>
      <c r="IA262">
        <v>216</v>
      </c>
      <c r="IB262" s="10" t="s">
        <v>822</v>
      </c>
      <c r="IC262" s="10"/>
      <c r="ID262" s="10"/>
      <c r="IE262" s="10" t="s">
        <v>1</v>
      </c>
      <c r="IF262" s="10" t="s">
        <v>1</v>
      </c>
      <c r="IG262" s="10"/>
      <c r="IH262" s="10"/>
      <c r="II262" s="10"/>
      <c r="IJ262" s="10"/>
      <c r="IK262" s="10"/>
      <c r="IL262" s="10"/>
      <c r="IM262" s="10"/>
      <c r="IN262" s="10"/>
      <c r="IO262" s="10"/>
      <c r="IP262" s="10"/>
      <c r="IQ262" s="10"/>
      <c r="IR262" s="10"/>
      <c r="IS262" t="s">
        <v>1</v>
      </c>
      <c r="IT262" t="s">
        <v>1</v>
      </c>
      <c r="IW262" t="s">
        <v>1</v>
      </c>
      <c r="IX262" t="s">
        <v>1</v>
      </c>
      <c r="IY262" t="s">
        <v>808</v>
      </c>
      <c r="IZ262">
        <v>6524</v>
      </c>
      <c r="JA262" t="s">
        <v>1</v>
      </c>
      <c r="JB262" s="3" t="s">
        <v>1</v>
      </c>
      <c r="JC262" t="s">
        <v>1</v>
      </c>
      <c r="JD262" s="4" t="s">
        <v>1</v>
      </c>
      <c r="JE262" t="s">
        <v>810</v>
      </c>
      <c r="JF262">
        <v>100</v>
      </c>
      <c r="JR262" t="s">
        <v>1066</v>
      </c>
      <c r="JS262">
        <v>1</v>
      </c>
      <c r="JU262" t="s">
        <v>1</v>
      </c>
      <c r="JW262" t="s">
        <v>842</v>
      </c>
      <c r="JX262">
        <v>0</v>
      </c>
      <c r="JY262">
        <v>40</v>
      </c>
      <c r="JZ262" t="s">
        <v>796</v>
      </c>
      <c r="KA262" t="s">
        <v>272</v>
      </c>
      <c r="KB262" t="s">
        <v>738</v>
      </c>
      <c r="KC262" t="s">
        <v>1067</v>
      </c>
      <c r="KD262" s="1">
        <v>1.59</v>
      </c>
      <c r="KE262" s="1">
        <v>0.2</v>
      </c>
      <c r="KF262" t="s">
        <v>842</v>
      </c>
      <c r="KG262">
        <v>0</v>
      </c>
      <c r="KH262">
        <v>40</v>
      </c>
      <c r="KI262" t="s">
        <v>796</v>
      </c>
      <c r="KJ262" t="s">
        <v>272</v>
      </c>
      <c r="KK262" t="s">
        <v>738</v>
      </c>
    </row>
    <row r="263" spans="1:297" x14ac:dyDescent="0.2">
      <c r="A263">
        <v>231</v>
      </c>
      <c r="B263" t="s">
        <v>705</v>
      </c>
      <c r="C263" t="s">
        <v>276</v>
      </c>
      <c r="D263" t="s">
        <v>270</v>
      </c>
      <c r="E263">
        <v>39</v>
      </c>
      <c r="F263" t="s">
        <v>1328</v>
      </c>
      <c r="G263" t="s">
        <v>1</v>
      </c>
      <c r="H263" s="26" t="s">
        <v>1420</v>
      </c>
      <c r="I263" t="s">
        <v>1</v>
      </c>
      <c r="J263" t="s">
        <v>1</v>
      </c>
      <c r="K263" t="s">
        <v>1</v>
      </c>
      <c r="L263" t="s">
        <v>1</v>
      </c>
      <c r="M263" t="s">
        <v>1</v>
      </c>
      <c r="N263" t="s">
        <v>1</v>
      </c>
      <c r="O263" t="s">
        <v>1</v>
      </c>
      <c r="P263" t="s">
        <v>1</v>
      </c>
      <c r="Q263" t="s">
        <v>1</v>
      </c>
      <c r="R263" t="s">
        <v>1</v>
      </c>
      <c r="S263" t="s">
        <v>1</v>
      </c>
      <c r="T263" t="s">
        <v>1</v>
      </c>
      <c r="U263" t="s">
        <v>1</v>
      </c>
      <c r="V263" t="s">
        <v>1</v>
      </c>
      <c r="W263" t="s">
        <v>1</v>
      </c>
      <c r="X263" t="s">
        <v>1</v>
      </c>
      <c r="Y263" t="s">
        <v>1</v>
      </c>
      <c r="Z263" t="s">
        <v>1</v>
      </c>
      <c r="AA263" t="s">
        <v>1</v>
      </c>
      <c r="AB263" t="s">
        <v>1</v>
      </c>
      <c r="AC263" t="s">
        <v>1</v>
      </c>
      <c r="AD263" t="s">
        <v>1</v>
      </c>
      <c r="AE263" t="s">
        <v>1</v>
      </c>
      <c r="AF263" t="s">
        <v>1</v>
      </c>
      <c r="AG263" t="s">
        <v>1</v>
      </c>
      <c r="AH263" t="s">
        <v>1</v>
      </c>
      <c r="AI263" t="s">
        <v>1</v>
      </c>
      <c r="AJ263" t="s">
        <v>1</v>
      </c>
      <c r="AK263" t="s">
        <v>1</v>
      </c>
      <c r="AL263" t="s">
        <v>1</v>
      </c>
      <c r="AM263" t="s">
        <v>1</v>
      </c>
      <c r="AN263">
        <v>231</v>
      </c>
      <c r="AO263">
        <f t="shared" si="36"/>
        <v>231</v>
      </c>
      <c r="AP263">
        <f t="shared" si="40"/>
        <v>39</v>
      </c>
      <c r="AQ263">
        <f t="shared" si="41"/>
        <v>39</v>
      </c>
      <c r="AR263" s="26" t="s">
        <v>1355</v>
      </c>
      <c r="AS263" s="26" t="s">
        <v>1356</v>
      </c>
      <c r="AT263" t="s">
        <v>710</v>
      </c>
      <c r="AU263" t="s">
        <v>1</v>
      </c>
      <c r="AV263" t="s">
        <v>1</v>
      </c>
      <c r="AW263">
        <v>31.29</v>
      </c>
      <c r="AX263">
        <v>119.9</v>
      </c>
      <c r="AY263" t="s">
        <v>737</v>
      </c>
      <c r="BA263" s="3">
        <v>3</v>
      </c>
      <c r="BB263" s="3"/>
      <c r="BC263" s="3"/>
      <c r="BD263" s="3"/>
      <c r="BE263" s="3"/>
      <c r="BF263">
        <v>2011</v>
      </c>
      <c r="BG263" s="24" t="s">
        <v>733</v>
      </c>
      <c r="BH263" s="24" t="s">
        <v>733</v>
      </c>
      <c r="BI263" s="24" t="s">
        <v>733</v>
      </c>
      <c r="BJ263" s="24" t="s">
        <v>732</v>
      </c>
      <c r="BK263" s="24" t="s">
        <v>733</v>
      </c>
      <c r="BL263" s="25" t="s">
        <v>733</v>
      </c>
      <c r="BM263" s="24" t="s">
        <v>733</v>
      </c>
      <c r="BN263" s="24" t="s">
        <v>732</v>
      </c>
      <c r="BO263" s="24" t="s">
        <v>733</v>
      </c>
      <c r="BP263" s="24" t="s">
        <v>733</v>
      </c>
      <c r="BQ263" s="24" t="s">
        <v>945</v>
      </c>
      <c r="BR263" s="24" t="s">
        <v>945</v>
      </c>
      <c r="BS263" s="25" t="s">
        <v>934</v>
      </c>
      <c r="BT263" s="24" t="s">
        <v>934</v>
      </c>
      <c r="BU263" s="24" t="s">
        <v>934</v>
      </c>
      <c r="BV263" s="24" t="s">
        <v>934</v>
      </c>
      <c r="BW263" s="24" t="s">
        <v>934</v>
      </c>
      <c r="BX263" s="24" t="s">
        <v>934</v>
      </c>
      <c r="BY263" s="25" t="s">
        <v>945</v>
      </c>
      <c r="BZ263" t="s">
        <v>1410</v>
      </c>
      <c r="CB263" t="s">
        <v>118</v>
      </c>
      <c r="CC263" s="4">
        <f>7.39*1000</f>
        <v>7390</v>
      </c>
      <c r="CD263" s="4"/>
      <c r="CE263" s="4"/>
      <c r="CF263" t="s">
        <v>793</v>
      </c>
      <c r="CG263">
        <v>100</v>
      </c>
      <c r="CH263" t="s">
        <v>805</v>
      </c>
      <c r="CI263" s="28">
        <v>0.4</v>
      </c>
      <c r="CJ263" s="9" t="s">
        <v>1</v>
      </c>
      <c r="CK263" t="s">
        <v>807</v>
      </c>
      <c r="CL263" s="4">
        <f>14*1000-7390</f>
        <v>6610</v>
      </c>
      <c r="CM263" t="s">
        <v>847</v>
      </c>
      <c r="CN263" s="4">
        <f>85.1+81.5</f>
        <v>166.6</v>
      </c>
      <c r="CO263" s="4" t="s">
        <v>1</v>
      </c>
      <c r="CP263" s="4" t="s">
        <v>1</v>
      </c>
      <c r="CQ263" s="4" t="s">
        <v>1</v>
      </c>
      <c r="CR263" s="4" t="s">
        <v>1</v>
      </c>
      <c r="CS263" s="4" t="s">
        <v>1</v>
      </c>
      <c r="CT263" s="4" t="s">
        <v>1</v>
      </c>
      <c r="CU263" s="4" t="s">
        <v>1</v>
      </c>
      <c r="CV263" t="s">
        <v>856</v>
      </c>
      <c r="CW263">
        <v>100</v>
      </c>
      <c r="CX263">
        <v>0</v>
      </c>
      <c r="CY263">
        <v>15</v>
      </c>
      <c r="CZ263" s="26" t="s">
        <v>1358</v>
      </c>
      <c r="DA263" t="s">
        <v>734</v>
      </c>
      <c r="DB263">
        <v>8.3000000000000007</v>
      </c>
      <c r="DC263">
        <v>0</v>
      </c>
      <c r="DD263">
        <v>15</v>
      </c>
      <c r="DE263" s="26" t="s">
        <v>1358</v>
      </c>
      <c r="DF263" t="s">
        <v>735</v>
      </c>
      <c r="DG263">
        <v>81.5</v>
      </c>
      <c r="DH263">
        <v>0</v>
      </c>
      <c r="DI263">
        <v>15</v>
      </c>
      <c r="DJ263" s="26" t="s">
        <v>1358</v>
      </c>
      <c r="DK263" t="s">
        <v>736</v>
      </c>
      <c r="DL263">
        <v>10.199999999999999</v>
      </c>
      <c r="DM263">
        <v>0</v>
      </c>
      <c r="DN263">
        <v>15</v>
      </c>
      <c r="DO263" s="26" t="s">
        <v>1358</v>
      </c>
      <c r="DP263" t="s">
        <v>6</v>
      </c>
      <c r="DQ263" t="s">
        <v>1</v>
      </c>
      <c r="DR263">
        <v>6.2</v>
      </c>
      <c r="DS263">
        <v>0</v>
      </c>
      <c r="DT263">
        <v>15</v>
      </c>
      <c r="DU263" s="26" t="s">
        <v>1358</v>
      </c>
      <c r="EA263" t="s">
        <v>982</v>
      </c>
      <c r="EB263">
        <v>7.3</v>
      </c>
      <c r="EC263">
        <v>0</v>
      </c>
      <c r="ED263">
        <v>15</v>
      </c>
      <c r="EE263" s="26" t="s">
        <v>1358</v>
      </c>
      <c r="EF263" s="26"/>
      <c r="FZ263" t="s">
        <v>806</v>
      </c>
      <c r="GA263">
        <v>1255.4000000000001</v>
      </c>
      <c r="GE263" s="26" t="s">
        <v>1358</v>
      </c>
      <c r="HA263" s="5" t="s">
        <v>1</v>
      </c>
      <c r="HB263" s="4" t="s">
        <v>1</v>
      </c>
      <c r="HC263" t="s">
        <v>1</v>
      </c>
      <c r="HD263" t="s">
        <v>1</v>
      </c>
      <c r="HE263" t="s">
        <v>1</v>
      </c>
      <c r="HF263" s="5" t="s">
        <v>1063</v>
      </c>
      <c r="HG263" s="4">
        <v>0.64</v>
      </c>
      <c r="HH263">
        <v>0</v>
      </c>
      <c r="HI263">
        <v>15</v>
      </c>
      <c r="HJ263" s="26" t="s">
        <v>1358</v>
      </c>
      <c r="HK263" t="s">
        <v>1</v>
      </c>
      <c r="HL263" t="s">
        <v>1</v>
      </c>
      <c r="HM263" t="s">
        <v>1</v>
      </c>
      <c r="HN263" t="s">
        <v>1</v>
      </c>
      <c r="HO263" t="s">
        <v>1</v>
      </c>
      <c r="HP263" t="s">
        <v>1</v>
      </c>
      <c r="HZ263" t="s">
        <v>1295</v>
      </c>
      <c r="IA263">
        <v>243</v>
      </c>
      <c r="IB263" s="10" t="s">
        <v>822</v>
      </c>
      <c r="IC263" s="10"/>
      <c r="ID263" s="10"/>
      <c r="IE263" s="10" t="s">
        <v>1</v>
      </c>
      <c r="IF263" s="10" t="s">
        <v>1</v>
      </c>
      <c r="IG263" s="10"/>
      <c r="IH263" s="10"/>
      <c r="II263" s="10"/>
      <c r="IJ263" s="10"/>
      <c r="IK263" s="10"/>
      <c r="IL263" s="10"/>
      <c r="IM263" s="10"/>
      <c r="IN263" s="10"/>
      <c r="IO263" s="10"/>
      <c r="IP263" s="10"/>
      <c r="IQ263" s="10"/>
      <c r="IR263" s="10"/>
      <c r="IS263" t="s">
        <v>1</v>
      </c>
      <c r="IT263" t="s">
        <v>1</v>
      </c>
      <c r="IW263" t="s">
        <v>1</v>
      </c>
      <c r="IX263" t="s">
        <v>1</v>
      </c>
      <c r="IY263" t="s">
        <v>808</v>
      </c>
      <c r="IZ263">
        <v>6524</v>
      </c>
      <c r="JA263" t="s">
        <v>1</v>
      </c>
      <c r="JB263" s="3" t="s">
        <v>1</v>
      </c>
      <c r="JC263" t="s">
        <v>1</v>
      </c>
      <c r="JD263" s="4" t="s">
        <v>1</v>
      </c>
      <c r="JE263" t="s">
        <v>810</v>
      </c>
      <c r="JF263">
        <v>100</v>
      </c>
      <c r="JR263" t="s">
        <v>1066</v>
      </c>
      <c r="JS263">
        <v>0.8</v>
      </c>
      <c r="JU263" t="s">
        <v>1</v>
      </c>
      <c r="JW263" t="s">
        <v>842</v>
      </c>
      <c r="JX263">
        <v>0</v>
      </c>
      <c r="JY263">
        <v>40</v>
      </c>
      <c r="JZ263" t="s">
        <v>796</v>
      </c>
      <c r="KA263" t="s">
        <v>272</v>
      </c>
      <c r="KB263" t="s">
        <v>738</v>
      </c>
      <c r="KC263" t="s">
        <v>1067</v>
      </c>
      <c r="KD263" s="1">
        <v>2.06</v>
      </c>
      <c r="KE263" s="1">
        <v>0.72</v>
      </c>
      <c r="KF263" t="s">
        <v>842</v>
      </c>
      <c r="KG263">
        <v>0</v>
      </c>
      <c r="KH263">
        <v>40</v>
      </c>
      <c r="KI263" t="s">
        <v>796</v>
      </c>
      <c r="KJ263" t="s">
        <v>272</v>
      </c>
      <c r="KK263" t="s">
        <v>738</v>
      </c>
    </row>
    <row r="264" spans="1:297" x14ac:dyDescent="0.2">
      <c r="A264">
        <v>232</v>
      </c>
      <c r="B264" t="s">
        <v>705</v>
      </c>
      <c r="C264" t="s">
        <v>277</v>
      </c>
      <c r="D264" t="s">
        <v>270</v>
      </c>
      <c r="E264">
        <v>39</v>
      </c>
      <c r="F264" t="s">
        <v>1328</v>
      </c>
      <c r="G264" t="s">
        <v>1</v>
      </c>
      <c r="H264" s="26" t="s">
        <v>1420</v>
      </c>
      <c r="I264" t="s">
        <v>1</v>
      </c>
      <c r="J264" t="s">
        <v>1</v>
      </c>
      <c r="K264" t="s">
        <v>1</v>
      </c>
      <c r="L264" t="s">
        <v>1</v>
      </c>
      <c r="M264" t="s">
        <v>1</v>
      </c>
      <c r="N264" t="s">
        <v>1</v>
      </c>
      <c r="O264" t="s">
        <v>1</v>
      </c>
      <c r="P264" t="s">
        <v>1</v>
      </c>
      <c r="Q264" t="s">
        <v>1</v>
      </c>
      <c r="R264" t="s">
        <v>1</v>
      </c>
      <c r="S264" t="s">
        <v>1</v>
      </c>
      <c r="T264" t="s">
        <v>1</v>
      </c>
      <c r="U264" t="s">
        <v>1</v>
      </c>
      <c r="V264" t="s">
        <v>1</v>
      </c>
      <c r="W264" t="s">
        <v>1</v>
      </c>
      <c r="X264" t="s">
        <v>1</v>
      </c>
      <c r="Y264" t="s">
        <v>1</v>
      </c>
      <c r="Z264" t="s">
        <v>1</v>
      </c>
      <c r="AA264" t="s">
        <v>1</v>
      </c>
      <c r="AB264" t="s">
        <v>1</v>
      </c>
      <c r="AC264" t="s">
        <v>1</v>
      </c>
      <c r="AD264" t="s">
        <v>1</v>
      </c>
      <c r="AE264" t="s">
        <v>1</v>
      </c>
      <c r="AF264" t="s">
        <v>1</v>
      </c>
      <c r="AG264" t="s">
        <v>1</v>
      </c>
      <c r="AH264" t="s">
        <v>1</v>
      </c>
      <c r="AI264" t="s">
        <v>1</v>
      </c>
      <c r="AJ264" t="s">
        <v>1</v>
      </c>
      <c r="AK264" t="s">
        <v>1</v>
      </c>
      <c r="AL264" t="s">
        <v>1</v>
      </c>
      <c r="AM264" t="s">
        <v>1</v>
      </c>
      <c r="AN264">
        <v>232</v>
      </c>
      <c r="AO264">
        <f t="shared" si="36"/>
        <v>232</v>
      </c>
      <c r="AP264">
        <f t="shared" si="40"/>
        <v>39</v>
      </c>
      <c r="AQ264">
        <f t="shared" si="41"/>
        <v>39</v>
      </c>
      <c r="AR264" s="26" t="s">
        <v>1355</v>
      </c>
      <c r="AS264" s="26" t="s">
        <v>1356</v>
      </c>
      <c r="AT264" t="s">
        <v>710</v>
      </c>
      <c r="AU264" t="s">
        <v>1</v>
      </c>
      <c r="AV264" t="s">
        <v>1</v>
      </c>
      <c r="AW264">
        <v>31.29</v>
      </c>
      <c r="AX264">
        <v>119.9</v>
      </c>
      <c r="AY264" t="s">
        <v>737</v>
      </c>
      <c r="BA264" s="3">
        <v>3</v>
      </c>
      <c r="BB264" s="3"/>
      <c r="BC264" s="3"/>
      <c r="BD264" s="3"/>
      <c r="BE264" s="3"/>
      <c r="BF264">
        <v>2011</v>
      </c>
      <c r="BG264" s="24" t="s">
        <v>733</v>
      </c>
      <c r="BH264" s="24" t="s">
        <v>733</v>
      </c>
      <c r="BI264" s="24" t="s">
        <v>733</v>
      </c>
      <c r="BJ264" s="24" t="s">
        <v>732</v>
      </c>
      <c r="BK264" s="24" t="s">
        <v>733</v>
      </c>
      <c r="BL264" s="25" t="s">
        <v>733</v>
      </c>
      <c r="BM264" s="24" t="s">
        <v>733</v>
      </c>
      <c r="BN264" s="24" t="s">
        <v>732</v>
      </c>
      <c r="BO264" s="24" t="s">
        <v>733</v>
      </c>
      <c r="BP264" s="24" t="s">
        <v>733</v>
      </c>
      <c r="BQ264" s="24" t="s">
        <v>945</v>
      </c>
      <c r="BR264" s="24" t="s">
        <v>945</v>
      </c>
      <c r="BS264" s="25" t="s">
        <v>934</v>
      </c>
      <c r="BT264" s="24" t="s">
        <v>934</v>
      </c>
      <c r="BU264" s="24" t="s">
        <v>934</v>
      </c>
      <c r="BV264" s="24" t="s">
        <v>934</v>
      </c>
      <c r="BW264" s="24" t="s">
        <v>934</v>
      </c>
      <c r="BX264" s="24" t="s">
        <v>934</v>
      </c>
      <c r="BY264" s="25" t="s">
        <v>945</v>
      </c>
      <c r="BZ264" t="s">
        <v>1410</v>
      </c>
      <c r="CB264" t="s">
        <v>118</v>
      </c>
      <c r="CC264" s="4">
        <f>7.57*1000</f>
        <v>7570</v>
      </c>
      <c r="CD264" s="4"/>
      <c r="CE264" s="4"/>
      <c r="CF264" t="s">
        <v>793</v>
      </c>
      <c r="CG264">
        <v>100</v>
      </c>
      <c r="CH264" t="s">
        <v>805</v>
      </c>
      <c r="CI264" s="28">
        <v>0.4</v>
      </c>
      <c r="CJ264" s="9" t="s">
        <v>1</v>
      </c>
      <c r="CK264" t="s">
        <v>807</v>
      </c>
      <c r="CL264" s="4">
        <f>13.43*1000-7570</f>
        <v>5860</v>
      </c>
      <c r="CM264" t="s">
        <v>847</v>
      </c>
      <c r="CN264" s="4">
        <f>85.1+104.2</f>
        <v>189.3</v>
      </c>
      <c r="CO264" s="4" t="s">
        <v>1</v>
      </c>
      <c r="CP264" s="4" t="s">
        <v>1</v>
      </c>
      <c r="CQ264" s="4" t="s">
        <v>1</v>
      </c>
      <c r="CR264" s="4" t="s">
        <v>1</v>
      </c>
      <c r="CS264" s="4" t="s">
        <v>1</v>
      </c>
      <c r="CT264" s="4" t="s">
        <v>1</v>
      </c>
      <c r="CU264" s="4" t="s">
        <v>1</v>
      </c>
      <c r="CV264" t="s">
        <v>856</v>
      </c>
      <c r="CW264">
        <v>100</v>
      </c>
      <c r="CX264">
        <v>0</v>
      </c>
      <c r="CY264">
        <v>15</v>
      </c>
      <c r="CZ264" s="26" t="s">
        <v>1358</v>
      </c>
      <c r="DA264" t="s">
        <v>734</v>
      </c>
      <c r="DB264">
        <v>8.3000000000000007</v>
      </c>
      <c r="DC264">
        <v>0</v>
      </c>
      <c r="DD264">
        <v>15</v>
      </c>
      <c r="DE264" s="26" t="s">
        <v>1358</v>
      </c>
      <c r="DF264" t="s">
        <v>735</v>
      </c>
      <c r="DG264">
        <v>81.5</v>
      </c>
      <c r="DH264">
        <v>0</v>
      </c>
      <c r="DI264">
        <v>15</v>
      </c>
      <c r="DJ264" s="26" t="s">
        <v>1358</v>
      </c>
      <c r="DK264" t="s">
        <v>736</v>
      </c>
      <c r="DL264">
        <v>10.199999999999999</v>
      </c>
      <c r="DM264">
        <v>0</v>
      </c>
      <c r="DN264">
        <v>15</v>
      </c>
      <c r="DO264" s="26" t="s">
        <v>1358</v>
      </c>
      <c r="DP264" t="s">
        <v>6</v>
      </c>
      <c r="DQ264" t="s">
        <v>1</v>
      </c>
      <c r="DR264">
        <v>6.2</v>
      </c>
      <c r="DS264">
        <v>0</v>
      </c>
      <c r="DT264">
        <v>15</v>
      </c>
      <c r="DU264" s="26" t="s">
        <v>1358</v>
      </c>
      <c r="EA264" t="s">
        <v>982</v>
      </c>
      <c r="EB264">
        <v>7.3</v>
      </c>
      <c r="EC264">
        <v>0</v>
      </c>
      <c r="ED264">
        <v>15</v>
      </c>
      <c r="EE264" s="26" t="s">
        <v>1358</v>
      </c>
      <c r="EF264" s="26"/>
      <c r="FZ264" t="s">
        <v>806</v>
      </c>
      <c r="GA264">
        <v>1255.4000000000001</v>
      </c>
      <c r="GE264" s="26" t="s">
        <v>1358</v>
      </c>
      <c r="HA264" s="5" t="s">
        <v>1</v>
      </c>
      <c r="HB264" s="4" t="s">
        <v>1</v>
      </c>
      <c r="HC264" t="s">
        <v>1</v>
      </c>
      <c r="HD264" t="s">
        <v>1</v>
      </c>
      <c r="HE264" t="s">
        <v>1</v>
      </c>
      <c r="HF264" s="5" t="s">
        <v>1063</v>
      </c>
      <c r="HG264" s="4">
        <v>0.64</v>
      </c>
      <c r="HH264">
        <v>0</v>
      </c>
      <c r="HI264">
        <v>15</v>
      </c>
      <c r="HJ264" s="26" t="s">
        <v>1358</v>
      </c>
      <c r="HK264" t="s">
        <v>1</v>
      </c>
      <c r="HL264" t="s">
        <v>1</v>
      </c>
      <c r="HM264" t="s">
        <v>1</v>
      </c>
      <c r="HN264" t="s">
        <v>1</v>
      </c>
      <c r="HO264" t="s">
        <v>1</v>
      </c>
      <c r="HP264" t="s">
        <v>1</v>
      </c>
      <c r="HZ264" t="s">
        <v>1295</v>
      </c>
      <c r="IA264">
        <v>270</v>
      </c>
      <c r="IB264" s="10" t="s">
        <v>822</v>
      </c>
      <c r="IC264" s="10"/>
      <c r="ID264" s="10"/>
      <c r="IE264" s="10" t="s">
        <v>1</v>
      </c>
      <c r="IF264" s="10" t="s">
        <v>1</v>
      </c>
      <c r="IG264" s="10"/>
      <c r="IH264" s="10"/>
      <c r="II264" s="10"/>
      <c r="IJ264" s="10"/>
      <c r="IK264" s="10"/>
      <c r="IL264" s="10"/>
      <c r="IM264" s="10"/>
      <c r="IN264" s="10"/>
      <c r="IO264" s="10"/>
      <c r="IP264" s="10"/>
      <c r="IQ264" s="10"/>
      <c r="IR264" s="10"/>
      <c r="IS264" t="s">
        <v>1</v>
      </c>
      <c r="IT264" t="s">
        <v>1</v>
      </c>
      <c r="IW264" t="s">
        <v>1</v>
      </c>
      <c r="IX264" t="s">
        <v>1</v>
      </c>
      <c r="IY264" t="s">
        <v>808</v>
      </c>
      <c r="IZ264">
        <v>6524</v>
      </c>
      <c r="JA264" t="s">
        <v>1</v>
      </c>
      <c r="JB264" s="3" t="s">
        <v>1</v>
      </c>
      <c r="JC264" t="s">
        <v>1</v>
      </c>
      <c r="JD264" s="4" t="s">
        <v>1</v>
      </c>
      <c r="JE264" t="s">
        <v>810</v>
      </c>
      <c r="JF264">
        <v>100</v>
      </c>
      <c r="JR264" t="s">
        <v>1066</v>
      </c>
      <c r="JS264">
        <v>1.3</v>
      </c>
      <c r="JU264" t="s">
        <v>1</v>
      </c>
      <c r="JW264" t="s">
        <v>842</v>
      </c>
      <c r="JX264">
        <v>0</v>
      </c>
      <c r="JY264">
        <v>40</v>
      </c>
      <c r="JZ264" t="s">
        <v>796</v>
      </c>
      <c r="KA264" t="s">
        <v>272</v>
      </c>
      <c r="KB264" t="s">
        <v>738</v>
      </c>
      <c r="KC264" t="s">
        <v>1067</v>
      </c>
      <c r="KD264" s="1">
        <v>2.1800000000000002</v>
      </c>
      <c r="KE264" s="1">
        <v>0.34</v>
      </c>
      <c r="KF264" t="s">
        <v>842</v>
      </c>
      <c r="KG264">
        <v>0</v>
      </c>
      <c r="KH264">
        <v>40</v>
      </c>
      <c r="KI264" t="s">
        <v>796</v>
      </c>
      <c r="KJ264" t="s">
        <v>272</v>
      </c>
      <c r="KK264" t="s">
        <v>738</v>
      </c>
    </row>
    <row r="265" spans="1:297" x14ac:dyDescent="0.2">
      <c r="A265">
        <v>233</v>
      </c>
      <c r="B265" t="s">
        <v>705</v>
      </c>
      <c r="C265" t="s">
        <v>278</v>
      </c>
      <c r="D265" t="s">
        <v>270</v>
      </c>
      <c r="E265">
        <v>39</v>
      </c>
      <c r="F265" t="s">
        <v>1328</v>
      </c>
      <c r="G265" t="s">
        <v>1</v>
      </c>
      <c r="H265" s="26" t="s">
        <v>1420</v>
      </c>
      <c r="I265" t="s">
        <v>1</v>
      </c>
      <c r="J265" t="s">
        <v>1</v>
      </c>
      <c r="K265" t="s">
        <v>1</v>
      </c>
      <c r="L265" t="s">
        <v>1</v>
      </c>
      <c r="M265" t="s">
        <v>1</v>
      </c>
      <c r="N265" t="s">
        <v>1</v>
      </c>
      <c r="O265" t="s">
        <v>1</v>
      </c>
      <c r="P265" t="s">
        <v>1</v>
      </c>
      <c r="Q265" t="s">
        <v>1</v>
      </c>
      <c r="R265" t="s">
        <v>1</v>
      </c>
      <c r="S265" t="s">
        <v>1</v>
      </c>
      <c r="T265" t="s">
        <v>1</v>
      </c>
      <c r="U265" t="s">
        <v>1</v>
      </c>
      <c r="V265" t="s">
        <v>1</v>
      </c>
      <c r="W265" t="s">
        <v>1</v>
      </c>
      <c r="X265" t="s">
        <v>1</v>
      </c>
      <c r="Y265" t="s">
        <v>1</v>
      </c>
      <c r="Z265" t="s">
        <v>1</v>
      </c>
      <c r="AA265" t="s">
        <v>1</v>
      </c>
      <c r="AB265" t="s">
        <v>1</v>
      </c>
      <c r="AC265" t="s">
        <v>1</v>
      </c>
      <c r="AD265" t="s">
        <v>1</v>
      </c>
      <c r="AE265" t="s">
        <v>1</v>
      </c>
      <c r="AF265" t="s">
        <v>1</v>
      </c>
      <c r="AG265" t="s">
        <v>1</v>
      </c>
      <c r="AH265" t="s">
        <v>1</v>
      </c>
      <c r="AI265" t="s">
        <v>1</v>
      </c>
      <c r="AJ265" t="s">
        <v>1</v>
      </c>
      <c r="AK265" t="s">
        <v>1</v>
      </c>
      <c r="AL265" t="s">
        <v>1</v>
      </c>
      <c r="AM265" t="s">
        <v>1</v>
      </c>
      <c r="AN265">
        <v>233</v>
      </c>
      <c r="AO265">
        <f t="shared" si="36"/>
        <v>233</v>
      </c>
      <c r="AP265">
        <f t="shared" si="40"/>
        <v>39</v>
      </c>
      <c r="AQ265">
        <f t="shared" si="41"/>
        <v>39</v>
      </c>
      <c r="AR265" s="26" t="s">
        <v>1355</v>
      </c>
      <c r="AS265" s="26" t="s">
        <v>1356</v>
      </c>
      <c r="AT265" t="s">
        <v>710</v>
      </c>
      <c r="AU265" t="s">
        <v>1</v>
      </c>
      <c r="AV265" t="s">
        <v>1</v>
      </c>
      <c r="AW265">
        <v>31.29</v>
      </c>
      <c r="AX265">
        <v>119.9</v>
      </c>
      <c r="AY265" t="s">
        <v>737</v>
      </c>
      <c r="BA265" s="3">
        <v>3</v>
      </c>
      <c r="BB265" s="3"/>
      <c r="BC265" s="3"/>
      <c r="BD265" s="3"/>
      <c r="BE265" s="3"/>
      <c r="BF265">
        <v>2011</v>
      </c>
      <c r="BG265" s="24" t="s">
        <v>733</v>
      </c>
      <c r="BH265" s="24" t="s">
        <v>733</v>
      </c>
      <c r="BI265" s="24" t="s">
        <v>733</v>
      </c>
      <c r="BJ265" s="24" t="s">
        <v>732</v>
      </c>
      <c r="BK265" s="24" t="s">
        <v>733</v>
      </c>
      <c r="BL265" s="25" t="s">
        <v>733</v>
      </c>
      <c r="BM265" s="24" t="s">
        <v>733</v>
      </c>
      <c r="BN265" s="24" t="s">
        <v>732</v>
      </c>
      <c r="BO265" s="24" t="s">
        <v>733</v>
      </c>
      <c r="BP265" s="24" t="s">
        <v>733</v>
      </c>
      <c r="BQ265" s="24" t="s">
        <v>945</v>
      </c>
      <c r="BR265" s="24" t="s">
        <v>945</v>
      </c>
      <c r="BS265" s="25" t="s">
        <v>934</v>
      </c>
      <c r="BT265" s="24" t="s">
        <v>934</v>
      </c>
      <c r="BU265" s="24" t="s">
        <v>934</v>
      </c>
      <c r="BV265" s="24" t="s">
        <v>934</v>
      </c>
      <c r="BW265" s="24" t="s">
        <v>934</v>
      </c>
      <c r="BX265" s="24" t="s">
        <v>934</v>
      </c>
      <c r="BY265" s="25" t="s">
        <v>945</v>
      </c>
      <c r="BZ265" t="s">
        <v>1410</v>
      </c>
      <c r="CB265" t="s">
        <v>118</v>
      </c>
      <c r="CC265" s="4">
        <f>6.76*1000</f>
        <v>6760</v>
      </c>
      <c r="CD265" s="4"/>
      <c r="CE265" s="4"/>
      <c r="CF265" t="s">
        <v>793</v>
      </c>
      <c r="CG265">
        <v>100</v>
      </c>
      <c r="CH265" t="s">
        <v>805</v>
      </c>
      <c r="CI265" s="28">
        <v>0.4</v>
      </c>
      <c r="CJ265" s="9" t="s">
        <v>1</v>
      </c>
      <c r="CK265" t="s">
        <v>807</v>
      </c>
      <c r="CL265" s="4">
        <f>11.07*1000-6760</f>
        <v>4310</v>
      </c>
      <c r="CM265" s="34" t="s">
        <v>1</v>
      </c>
      <c r="CN265" s="4" t="s">
        <v>1</v>
      </c>
      <c r="CO265" s="4" t="s">
        <v>1</v>
      </c>
      <c r="CP265" s="4" t="s">
        <v>1</v>
      </c>
      <c r="CQ265" s="4" t="s">
        <v>1</v>
      </c>
      <c r="CR265" s="4" t="s">
        <v>1</v>
      </c>
      <c r="CS265" s="4" t="s">
        <v>1</v>
      </c>
      <c r="CT265" s="4" t="s">
        <v>1</v>
      </c>
      <c r="CU265" s="4" t="s">
        <v>1</v>
      </c>
      <c r="CV265" t="s">
        <v>856</v>
      </c>
      <c r="CW265">
        <v>100</v>
      </c>
      <c r="CX265">
        <v>0</v>
      </c>
      <c r="CY265">
        <v>15</v>
      </c>
      <c r="CZ265" s="26" t="s">
        <v>1358</v>
      </c>
      <c r="DA265" t="s">
        <v>734</v>
      </c>
      <c r="DB265">
        <v>8.3000000000000007</v>
      </c>
      <c r="DC265">
        <v>0</v>
      </c>
      <c r="DD265">
        <v>15</v>
      </c>
      <c r="DE265" s="26" t="s">
        <v>1358</v>
      </c>
      <c r="DF265" t="s">
        <v>735</v>
      </c>
      <c r="DG265">
        <v>81.5</v>
      </c>
      <c r="DH265">
        <v>0</v>
      </c>
      <c r="DI265">
        <v>15</v>
      </c>
      <c r="DJ265" s="26" t="s">
        <v>1358</v>
      </c>
      <c r="DK265" t="s">
        <v>736</v>
      </c>
      <c r="DL265">
        <v>10.199999999999999</v>
      </c>
      <c r="DM265">
        <v>0</v>
      </c>
      <c r="DN265">
        <v>15</v>
      </c>
      <c r="DO265" s="26" t="s">
        <v>1358</v>
      </c>
      <c r="DP265" t="s">
        <v>6</v>
      </c>
      <c r="DQ265" t="s">
        <v>1</v>
      </c>
      <c r="DR265">
        <v>6.2</v>
      </c>
      <c r="DS265">
        <v>0</v>
      </c>
      <c r="DT265">
        <v>15</v>
      </c>
      <c r="DU265" s="26" t="s">
        <v>1358</v>
      </c>
      <c r="EA265" t="s">
        <v>982</v>
      </c>
      <c r="EB265">
        <v>7.3</v>
      </c>
      <c r="EC265">
        <v>0</v>
      </c>
      <c r="ED265">
        <v>15</v>
      </c>
      <c r="EE265" s="26" t="s">
        <v>1358</v>
      </c>
      <c r="EF265" s="26"/>
      <c r="FZ265" t="s">
        <v>806</v>
      </c>
      <c r="GA265">
        <v>1255.4000000000001</v>
      </c>
      <c r="GE265" s="26" t="s">
        <v>1358</v>
      </c>
      <c r="HA265" s="5" t="s">
        <v>1</v>
      </c>
      <c r="HB265" s="4" t="s">
        <v>1</v>
      </c>
      <c r="HC265" t="s">
        <v>1</v>
      </c>
      <c r="HD265" t="s">
        <v>1</v>
      </c>
      <c r="HE265" t="s">
        <v>1</v>
      </c>
      <c r="HF265" s="5" t="s">
        <v>1063</v>
      </c>
      <c r="HG265" s="4">
        <v>0.64</v>
      </c>
      <c r="HH265">
        <v>0</v>
      </c>
      <c r="HI265">
        <v>15</v>
      </c>
      <c r="HJ265" s="26" t="s">
        <v>1358</v>
      </c>
      <c r="HK265" t="s">
        <v>1</v>
      </c>
      <c r="HL265" t="s">
        <v>1</v>
      </c>
      <c r="HM265" t="s">
        <v>1</v>
      </c>
      <c r="HN265" t="s">
        <v>1</v>
      </c>
      <c r="HO265" t="s">
        <v>1</v>
      </c>
      <c r="HP265" t="s">
        <v>1</v>
      </c>
      <c r="HZ265" t="s">
        <v>1295</v>
      </c>
      <c r="IA265">
        <v>405</v>
      </c>
      <c r="IB265" s="10" t="s">
        <v>822</v>
      </c>
      <c r="IC265" s="10"/>
      <c r="ID265" s="10"/>
      <c r="IE265" s="10" t="s">
        <v>1</v>
      </c>
      <c r="IF265" s="10" t="s">
        <v>1</v>
      </c>
      <c r="IG265" s="10"/>
      <c r="IH265" s="10"/>
      <c r="II265" s="10"/>
      <c r="IJ265" s="10"/>
      <c r="IK265" s="10"/>
      <c r="IL265" s="10"/>
      <c r="IM265" s="10"/>
      <c r="IN265" s="10"/>
      <c r="IO265" s="10"/>
      <c r="IP265" s="10"/>
      <c r="IQ265" s="10"/>
      <c r="IR265" s="10"/>
      <c r="IS265" t="s">
        <v>1</v>
      </c>
      <c r="IT265" t="s">
        <v>1</v>
      </c>
      <c r="IW265" t="s">
        <v>1</v>
      </c>
      <c r="IX265" t="s">
        <v>1</v>
      </c>
      <c r="IY265" t="s">
        <v>808</v>
      </c>
      <c r="IZ265">
        <v>6524</v>
      </c>
      <c r="JA265" t="s">
        <v>1</v>
      </c>
      <c r="JB265" s="3" t="s">
        <v>1</v>
      </c>
      <c r="JC265" t="s">
        <v>1</v>
      </c>
      <c r="JD265" s="4" t="s">
        <v>1</v>
      </c>
      <c r="JE265" t="s">
        <v>810</v>
      </c>
      <c r="JF265">
        <v>100</v>
      </c>
      <c r="JR265" t="s">
        <v>1066</v>
      </c>
      <c r="JS265">
        <v>0.9</v>
      </c>
      <c r="JU265" t="s">
        <v>1</v>
      </c>
      <c r="JW265" t="s">
        <v>842</v>
      </c>
      <c r="JX265">
        <v>0</v>
      </c>
      <c r="JY265">
        <v>40</v>
      </c>
      <c r="JZ265" t="s">
        <v>796</v>
      </c>
      <c r="KA265" t="s">
        <v>272</v>
      </c>
      <c r="KB265" t="s">
        <v>738</v>
      </c>
      <c r="KC265" t="s">
        <v>1067</v>
      </c>
      <c r="KD265" s="1">
        <v>1.69</v>
      </c>
      <c r="KE265" s="1">
        <v>0.19</v>
      </c>
      <c r="KF265" t="s">
        <v>842</v>
      </c>
      <c r="KG265">
        <v>0</v>
      </c>
      <c r="KH265">
        <v>40</v>
      </c>
      <c r="KI265" t="s">
        <v>796</v>
      </c>
      <c r="KJ265" t="s">
        <v>272</v>
      </c>
      <c r="KK265" t="s">
        <v>738</v>
      </c>
    </row>
    <row r="266" spans="1:297" x14ac:dyDescent="0.2">
      <c r="A266">
        <v>234</v>
      </c>
      <c r="B266" t="s">
        <v>705</v>
      </c>
      <c r="C266" t="s">
        <v>281</v>
      </c>
      <c r="D266" t="s">
        <v>279</v>
      </c>
      <c r="E266">
        <v>40</v>
      </c>
      <c r="F266" t="s">
        <v>280</v>
      </c>
      <c r="G266" t="s">
        <v>1</v>
      </c>
      <c r="H266" s="26" t="s">
        <v>1420</v>
      </c>
      <c r="I266" t="s">
        <v>1</v>
      </c>
      <c r="J266" t="s">
        <v>1</v>
      </c>
      <c r="K266" t="s">
        <v>1</v>
      </c>
      <c r="L266" t="s">
        <v>1</v>
      </c>
      <c r="M266" t="s">
        <v>1</v>
      </c>
      <c r="N266" t="s">
        <v>1</v>
      </c>
      <c r="O266" t="s">
        <v>1</v>
      </c>
      <c r="P266" t="s">
        <v>1</v>
      </c>
      <c r="Q266" t="s">
        <v>1</v>
      </c>
      <c r="R266" t="s">
        <v>1</v>
      </c>
      <c r="S266" t="s">
        <v>1</v>
      </c>
      <c r="T266" t="s">
        <v>1</v>
      </c>
      <c r="U266" t="s">
        <v>1</v>
      </c>
      <c r="V266" t="s">
        <v>1</v>
      </c>
      <c r="W266" t="s">
        <v>1</v>
      </c>
      <c r="X266" t="s">
        <v>1</v>
      </c>
      <c r="Y266" t="s">
        <v>1</v>
      </c>
      <c r="Z266" t="s">
        <v>1</v>
      </c>
      <c r="AA266" t="s">
        <v>1</v>
      </c>
      <c r="AB266" t="s">
        <v>1</v>
      </c>
      <c r="AC266" t="s">
        <v>1</v>
      </c>
      <c r="AD266" t="s">
        <v>1</v>
      </c>
      <c r="AE266" t="s">
        <v>1</v>
      </c>
      <c r="AF266" t="s">
        <v>1</v>
      </c>
      <c r="AG266" t="s">
        <v>1</v>
      </c>
      <c r="AH266" t="s">
        <v>1</v>
      </c>
      <c r="AI266" t="s">
        <v>1</v>
      </c>
      <c r="AJ266" t="s">
        <v>1</v>
      </c>
      <c r="AK266" t="s">
        <v>1</v>
      </c>
      <c r="AL266" t="s">
        <v>1</v>
      </c>
      <c r="AM266" t="s">
        <v>1</v>
      </c>
      <c r="AN266">
        <v>234</v>
      </c>
      <c r="AO266">
        <f t="shared" si="36"/>
        <v>234</v>
      </c>
      <c r="AP266">
        <f t="shared" si="40"/>
        <v>40</v>
      </c>
      <c r="AQ266">
        <f t="shared" si="41"/>
        <v>40</v>
      </c>
      <c r="AR266" s="26" t="s">
        <v>1355</v>
      </c>
      <c r="AS266" s="26" t="s">
        <v>1356</v>
      </c>
      <c r="AT266" t="s">
        <v>710</v>
      </c>
      <c r="AU266" t="s">
        <v>1</v>
      </c>
      <c r="AV266" t="s">
        <v>1</v>
      </c>
      <c r="AW266">
        <v>30.82</v>
      </c>
      <c r="AX266">
        <v>112.17</v>
      </c>
      <c r="AY266" t="s">
        <v>737</v>
      </c>
      <c r="BA266" s="3">
        <v>3</v>
      </c>
      <c r="BB266" s="3"/>
      <c r="BC266" s="3"/>
      <c r="BD266" s="3"/>
      <c r="BE266" s="3"/>
      <c r="BF266">
        <v>2008</v>
      </c>
      <c r="BG266" s="24" t="s">
        <v>733</v>
      </c>
      <c r="BH266" s="24" t="s">
        <v>733</v>
      </c>
      <c r="BI266" s="24" t="s">
        <v>733</v>
      </c>
      <c r="BJ266" s="24" t="s">
        <v>732</v>
      </c>
      <c r="BK266" s="24" t="s">
        <v>733</v>
      </c>
      <c r="BL266" s="25" t="s">
        <v>733</v>
      </c>
      <c r="BM266" s="24" t="s">
        <v>733</v>
      </c>
      <c r="BN266" s="24" t="s">
        <v>732</v>
      </c>
      <c r="BO266" s="24" t="s">
        <v>733</v>
      </c>
      <c r="BP266" s="24" t="s">
        <v>733</v>
      </c>
      <c r="BQ266" s="24" t="s">
        <v>945</v>
      </c>
      <c r="BR266" s="24" t="s">
        <v>945</v>
      </c>
      <c r="BS266" s="25" t="s">
        <v>934</v>
      </c>
      <c r="BT266" s="24" t="s">
        <v>934</v>
      </c>
      <c r="BU266" s="24" t="s">
        <v>934</v>
      </c>
      <c r="BV266" s="24" t="s">
        <v>934</v>
      </c>
      <c r="BW266" s="24" t="s">
        <v>934</v>
      </c>
      <c r="BX266" s="24" t="s">
        <v>934</v>
      </c>
      <c r="BY266" s="25" t="s">
        <v>945</v>
      </c>
      <c r="BZ266" t="s">
        <v>1410</v>
      </c>
      <c r="CB266" t="s">
        <v>118</v>
      </c>
      <c r="CC266" s="15">
        <f>AVERAGE(4950,4950,4025,5524)</f>
        <v>4862.25</v>
      </c>
      <c r="CD266" s="15"/>
      <c r="CE266" s="15"/>
      <c r="CF266" t="s">
        <v>793</v>
      </c>
      <c r="CG266">
        <v>100</v>
      </c>
      <c r="CH266" t="s">
        <v>805</v>
      </c>
      <c r="CI266" s="28">
        <v>0.4</v>
      </c>
      <c r="CJ266" s="9" t="s">
        <v>1</v>
      </c>
      <c r="CK266" s="9" t="s">
        <v>1</v>
      </c>
      <c r="CL266" s="4" t="s">
        <v>1</v>
      </c>
      <c r="CM266" s="4" t="s">
        <v>1</v>
      </c>
      <c r="CN266" s="4" t="s">
        <v>1</v>
      </c>
      <c r="CO266" s="4" t="s">
        <v>1</v>
      </c>
      <c r="CP266" s="4" t="s">
        <v>1</v>
      </c>
      <c r="CQ266" s="4" t="s">
        <v>1</v>
      </c>
      <c r="CR266" s="4" t="s">
        <v>1</v>
      </c>
      <c r="CS266" s="4" t="s">
        <v>1</v>
      </c>
      <c r="CT266" s="4" t="s">
        <v>1</v>
      </c>
      <c r="CU266" s="4" t="s">
        <v>1</v>
      </c>
      <c r="CV266" s="37" t="s">
        <v>849</v>
      </c>
      <c r="CW266">
        <v>100</v>
      </c>
      <c r="CX266">
        <v>0</v>
      </c>
      <c r="CY266">
        <v>30</v>
      </c>
      <c r="CZ266" s="26" t="s">
        <v>1358</v>
      </c>
      <c r="DA266" t="s">
        <v>734</v>
      </c>
      <c r="DB266">
        <v>12.7</v>
      </c>
      <c r="DC266">
        <v>0</v>
      </c>
      <c r="DD266">
        <v>30</v>
      </c>
      <c r="DE266" s="26" t="s">
        <v>1358</v>
      </c>
      <c r="DF266" t="s">
        <v>735</v>
      </c>
      <c r="DG266">
        <v>23.3</v>
      </c>
      <c r="DH266">
        <v>0</v>
      </c>
      <c r="DI266">
        <v>30</v>
      </c>
      <c r="DJ266" s="26" t="s">
        <v>1358</v>
      </c>
      <c r="DK266" t="s">
        <v>736</v>
      </c>
      <c r="DL266">
        <v>64</v>
      </c>
      <c r="DM266">
        <v>0</v>
      </c>
      <c r="DN266">
        <v>30</v>
      </c>
      <c r="DO266" s="26" t="s">
        <v>1358</v>
      </c>
      <c r="DP266" t="s">
        <v>6</v>
      </c>
      <c r="DQ266" t="s">
        <v>1</v>
      </c>
      <c r="DR266">
        <v>6.8</v>
      </c>
      <c r="DS266">
        <v>0</v>
      </c>
      <c r="DT266">
        <v>30</v>
      </c>
      <c r="DU266" s="26" t="s">
        <v>1358</v>
      </c>
      <c r="EA266" t="s">
        <v>982</v>
      </c>
      <c r="EB266">
        <v>9</v>
      </c>
      <c r="EC266">
        <v>0</v>
      </c>
      <c r="ED266">
        <v>30</v>
      </c>
      <c r="EE266" s="26" t="s">
        <v>1358</v>
      </c>
      <c r="EF266" s="26"/>
      <c r="FZ266" t="s">
        <v>806</v>
      </c>
      <c r="GA266">
        <v>552</v>
      </c>
      <c r="GE266" s="26" t="s">
        <v>1358</v>
      </c>
      <c r="HA266" s="5" t="s">
        <v>1</v>
      </c>
      <c r="HB266" s="4" t="s">
        <v>1</v>
      </c>
      <c r="HC266" t="s">
        <v>1</v>
      </c>
      <c r="HD266" t="s">
        <v>1</v>
      </c>
      <c r="HE266" t="s">
        <v>1</v>
      </c>
      <c r="HF266" s="5" t="s">
        <v>1063</v>
      </c>
      <c r="HG266" s="4">
        <v>1.2</v>
      </c>
      <c r="HH266">
        <v>0</v>
      </c>
      <c r="HI266">
        <v>30</v>
      </c>
      <c r="HJ266" s="26" t="s">
        <v>1358</v>
      </c>
      <c r="HK266" t="s">
        <v>815</v>
      </c>
      <c r="HL266">
        <v>1.25</v>
      </c>
      <c r="HM266">
        <v>0</v>
      </c>
      <c r="HN266">
        <v>30</v>
      </c>
      <c r="HO266" t="s">
        <v>1</v>
      </c>
      <c r="HP266" s="26" t="s">
        <v>1358</v>
      </c>
      <c r="HZ266" t="s">
        <v>1</v>
      </c>
      <c r="IA266" t="s">
        <v>1</v>
      </c>
      <c r="IB266" s="10" t="s">
        <v>1</v>
      </c>
      <c r="IC266" s="10"/>
      <c r="ID266" s="10"/>
      <c r="IE266" s="10" t="s">
        <v>1</v>
      </c>
      <c r="IF266" s="10" t="s">
        <v>1</v>
      </c>
      <c r="IG266" s="10"/>
      <c r="IH266" s="10"/>
      <c r="II266" s="10"/>
      <c r="IJ266" s="10"/>
      <c r="IK266" s="10"/>
      <c r="IL266" s="10"/>
      <c r="IM266" s="10"/>
      <c r="IN266" s="10"/>
      <c r="IO266" s="10"/>
      <c r="IP266" s="10"/>
      <c r="IQ266" s="10"/>
      <c r="IR266" s="10"/>
      <c r="IS266" t="s">
        <v>1</v>
      </c>
      <c r="IT266" t="s">
        <v>1</v>
      </c>
      <c r="IW266" t="s">
        <v>1</v>
      </c>
      <c r="IX266" t="s">
        <v>1</v>
      </c>
      <c r="IY266" t="s">
        <v>808</v>
      </c>
      <c r="IZ266">
        <v>2625</v>
      </c>
      <c r="JA266" t="s">
        <v>1</v>
      </c>
      <c r="JB266" s="3" t="s">
        <v>1</v>
      </c>
      <c r="JC266" t="s">
        <v>1</v>
      </c>
      <c r="JD266" s="4" t="s">
        <v>1</v>
      </c>
      <c r="JE266" t="s">
        <v>810</v>
      </c>
      <c r="JF266">
        <v>100</v>
      </c>
      <c r="JR266" t="s">
        <v>1066</v>
      </c>
      <c r="JS266">
        <v>6.7</v>
      </c>
      <c r="JU266" t="s">
        <v>1</v>
      </c>
      <c r="JW266" t="s">
        <v>1</v>
      </c>
      <c r="JX266">
        <v>0</v>
      </c>
      <c r="JY266">
        <v>57.999999999999993</v>
      </c>
      <c r="JZ266" t="s">
        <v>800</v>
      </c>
      <c r="KA266" t="s">
        <v>282</v>
      </c>
      <c r="KB266" t="s">
        <v>738</v>
      </c>
      <c r="KC266" t="s">
        <v>1067</v>
      </c>
      <c r="KD266" s="1">
        <f>AVERAGE(7.95,4.13)</f>
        <v>6.04</v>
      </c>
      <c r="KE266" s="1" t="s">
        <v>1</v>
      </c>
      <c r="KF266" s="11" t="s">
        <v>1</v>
      </c>
      <c r="KG266">
        <v>0</v>
      </c>
      <c r="KH266">
        <v>57.999999999999993</v>
      </c>
      <c r="KI266" t="s">
        <v>800</v>
      </c>
      <c r="KJ266" t="s">
        <v>282</v>
      </c>
      <c r="KK266" t="s">
        <v>738</v>
      </c>
    </row>
    <row r="267" spans="1:297" x14ac:dyDescent="0.2">
      <c r="A267">
        <v>235</v>
      </c>
      <c r="B267" t="s">
        <v>705</v>
      </c>
      <c r="C267" t="s">
        <v>283</v>
      </c>
      <c r="D267" t="s">
        <v>279</v>
      </c>
      <c r="E267">
        <v>40</v>
      </c>
      <c r="F267" t="s">
        <v>280</v>
      </c>
      <c r="G267" t="s">
        <v>1</v>
      </c>
      <c r="H267" s="26" t="s">
        <v>1420</v>
      </c>
      <c r="I267" t="s">
        <v>1</v>
      </c>
      <c r="J267" t="s">
        <v>1</v>
      </c>
      <c r="K267" t="s">
        <v>1</v>
      </c>
      <c r="L267" t="s">
        <v>1</v>
      </c>
      <c r="M267" t="s">
        <v>1</v>
      </c>
      <c r="N267" t="s">
        <v>1</v>
      </c>
      <c r="O267" t="s">
        <v>1</v>
      </c>
      <c r="P267" t="s">
        <v>1</v>
      </c>
      <c r="Q267" t="s">
        <v>1</v>
      </c>
      <c r="R267" t="s">
        <v>1</v>
      </c>
      <c r="S267" t="s">
        <v>1</v>
      </c>
      <c r="T267" t="s">
        <v>1</v>
      </c>
      <c r="U267" t="s">
        <v>1</v>
      </c>
      <c r="V267" t="s">
        <v>1</v>
      </c>
      <c r="W267" t="s">
        <v>1</v>
      </c>
      <c r="X267" t="s">
        <v>1</v>
      </c>
      <c r="Y267" t="s">
        <v>1</v>
      </c>
      <c r="Z267" t="s">
        <v>1</v>
      </c>
      <c r="AA267" t="s">
        <v>1</v>
      </c>
      <c r="AB267" t="s">
        <v>1</v>
      </c>
      <c r="AC267" t="s">
        <v>1</v>
      </c>
      <c r="AD267" t="s">
        <v>1</v>
      </c>
      <c r="AE267" t="s">
        <v>1</v>
      </c>
      <c r="AF267" t="s">
        <v>1</v>
      </c>
      <c r="AG267" t="s">
        <v>1</v>
      </c>
      <c r="AH267" t="s">
        <v>1</v>
      </c>
      <c r="AI267" t="s">
        <v>1</v>
      </c>
      <c r="AJ267" t="s">
        <v>1</v>
      </c>
      <c r="AK267" t="s">
        <v>1</v>
      </c>
      <c r="AL267" t="s">
        <v>1</v>
      </c>
      <c r="AM267" t="s">
        <v>1</v>
      </c>
      <c r="AN267">
        <v>235</v>
      </c>
      <c r="AO267">
        <f t="shared" si="36"/>
        <v>235</v>
      </c>
      <c r="AP267">
        <f t="shared" si="40"/>
        <v>40</v>
      </c>
      <c r="AQ267">
        <f t="shared" si="41"/>
        <v>40</v>
      </c>
      <c r="AR267" s="26" t="s">
        <v>1355</v>
      </c>
      <c r="AS267" s="26" t="s">
        <v>1356</v>
      </c>
      <c r="AT267" t="s">
        <v>710</v>
      </c>
      <c r="AU267" t="s">
        <v>1</v>
      </c>
      <c r="AV267" t="s">
        <v>1</v>
      </c>
      <c r="AW267">
        <v>30.82</v>
      </c>
      <c r="AX267">
        <v>112.17</v>
      </c>
      <c r="AY267" t="s">
        <v>737</v>
      </c>
      <c r="BA267" s="3">
        <v>3</v>
      </c>
      <c r="BB267" s="3"/>
      <c r="BC267" s="3"/>
      <c r="BD267" s="3"/>
      <c r="BE267" s="3"/>
      <c r="BF267">
        <v>2008</v>
      </c>
      <c r="BG267" s="24" t="s">
        <v>733</v>
      </c>
      <c r="BH267" s="24" t="s">
        <v>733</v>
      </c>
      <c r="BI267" s="24" t="s">
        <v>733</v>
      </c>
      <c r="BJ267" s="24" t="s">
        <v>732</v>
      </c>
      <c r="BK267" s="24" t="s">
        <v>733</v>
      </c>
      <c r="BL267" s="25" t="s">
        <v>733</v>
      </c>
      <c r="BM267" s="24" t="s">
        <v>733</v>
      </c>
      <c r="BN267" s="24" t="s">
        <v>732</v>
      </c>
      <c r="BO267" s="24" t="s">
        <v>733</v>
      </c>
      <c r="BP267" s="24" t="s">
        <v>733</v>
      </c>
      <c r="BQ267" s="24" t="s">
        <v>945</v>
      </c>
      <c r="BR267" s="24" t="s">
        <v>945</v>
      </c>
      <c r="BS267" s="25" t="s">
        <v>934</v>
      </c>
      <c r="BT267" s="24" t="s">
        <v>934</v>
      </c>
      <c r="BU267" s="24" t="s">
        <v>934</v>
      </c>
      <c r="BV267" s="24" t="s">
        <v>934</v>
      </c>
      <c r="BW267" s="24" t="s">
        <v>934</v>
      </c>
      <c r="BX267" s="24" t="s">
        <v>934</v>
      </c>
      <c r="BY267" s="25" t="s">
        <v>945</v>
      </c>
      <c r="BZ267" t="s">
        <v>1410</v>
      </c>
      <c r="CB267" t="s">
        <v>118</v>
      </c>
      <c r="CC267" s="15">
        <f>AVERAGE(6500,7434,6688,7527)</f>
        <v>7037.25</v>
      </c>
      <c r="CD267" s="15"/>
      <c r="CE267" s="15"/>
      <c r="CF267" t="s">
        <v>793</v>
      </c>
      <c r="CG267">
        <v>100</v>
      </c>
      <c r="CH267" t="s">
        <v>805</v>
      </c>
      <c r="CI267" s="28">
        <v>0.4</v>
      </c>
      <c r="CJ267" s="9" t="s">
        <v>1</v>
      </c>
      <c r="CK267" s="9" t="s">
        <v>1</v>
      </c>
      <c r="CL267" s="4" t="s">
        <v>1</v>
      </c>
      <c r="CM267" s="4" t="s">
        <v>1</v>
      </c>
      <c r="CN267" s="4" t="s">
        <v>1</v>
      </c>
      <c r="CO267" s="4" t="s">
        <v>1</v>
      </c>
      <c r="CP267" s="4" t="s">
        <v>1</v>
      </c>
      <c r="CQ267" s="4" t="s">
        <v>1</v>
      </c>
      <c r="CR267" s="4" t="s">
        <v>1</v>
      </c>
      <c r="CS267" s="4" t="s">
        <v>1</v>
      </c>
      <c r="CT267" s="4" t="s">
        <v>1</v>
      </c>
      <c r="CU267" s="4" t="s">
        <v>1</v>
      </c>
      <c r="CV267" s="37" t="s">
        <v>849</v>
      </c>
      <c r="CW267">
        <v>100</v>
      </c>
      <c r="CX267">
        <v>0</v>
      </c>
      <c r="CY267">
        <v>30</v>
      </c>
      <c r="CZ267" s="26" t="s">
        <v>1358</v>
      </c>
      <c r="DA267" t="s">
        <v>734</v>
      </c>
      <c r="DB267">
        <v>12.7</v>
      </c>
      <c r="DC267">
        <v>0</v>
      </c>
      <c r="DD267">
        <v>30</v>
      </c>
      <c r="DE267" s="26" t="s">
        <v>1358</v>
      </c>
      <c r="DF267" t="s">
        <v>735</v>
      </c>
      <c r="DG267">
        <v>23.3</v>
      </c>
      <c r="DH267">
        <v>0</v>
      </c>
      <c r="DI267">
        <v>30</v>
      </c>
      <c r="DJ267" s="26" t="s">
        <v>1358</v>
      </c>
      <c r="DK267" t="s">
        <v>736</v>
      </c>
      <c r="DL267">
        <v>64</v>
      </c>
      <c r="DM267">
        <v>0</v>
      </c>
      <c r="DN267">
        <v>30</v>
      </c>
      <c r="DO267" s="26" t="s">
        <v>1358</v>
      </c>
      <c r="DP267" t="s">
        <v>6</v>
      </c>
      <c r="DQ267" t="s">
        <v>1</v>
      </c>
      <c r="DR267">
        <v>6.8</v>
      </c>
      <c r="DS267">
        <v>0</v>
      </c>
      <c r="DT267">
        <v>30</v>
      </c>
      <c r="DU267" s="26" t="s">
        <v>1358</v>
      </c>
      <c r="EA267" t="s">
        <v>982</v>
      </c>
      <c r="EB267">
        <v>9</v>
      </c>
      <c r="EC267">
        <v>0</v>
      </c>
      <c r="ED267">
        <v>30</v>
      </c>
      <c r="EE267" s="26" t="s">
        <v>1358</v>
      </c>
      <c r="EF267" s="26"/>
      <c r="FZ267" t="s">
        <v>806</v>
      </c>
      <c r="GA267">
        <v>552</v>
      </c>
      <c r="GE267" s="26" t="s">
        <v>1358</v>
      </c>
      <c r="HA267" s="5" t="s">
        <v>1</v>
      </c>
      <c r="HB267" s="4" t="s">
        <v>1</v>
      </c>
      <c r="HC267" t="s">
        <v>1</v>
      </c>
      <c r="HD267" t="s">
        <v>1</v>
      </c>
      <c r="HE267" t="s">
        <v>1</v>
      </c>
      <c r="HF267" s="5" t="s">
        <v>1063</v>
      </c>
      <c r="HG267" s="4">
        <v>1.2</v>
      </c>
      <c r="HH267">
        <v>0</v>
      </c>
      <c r="HI267">
        <v>30</v>
      </c>
      <c r="HJ267" s="26" t="s">
        <v>1358</v>
      </c>
      <c r="HK267" t="s">
        <v>815</v>
      </c>
      <c r="HL267">
        <v>1.25</v>
      </c>
      <c r="HM267">
        <v>0</v>
      </c>
      <c r="HN267">
        <v>30</v>
      </c>
      <c r="HO267" t="s">
        <v>1</v>
      </c>
      <c r="HP267" s="26" t="s">
        <v>1358</v>
      </c>
      <c r="HZ267" t="s">
        <v>969</v>
      </c>
      <c r="IA267">
        <v>135</v>
      </c>
      <c r="IB267" s="10" t="s">
        <v>1</v>
      </c>
      <c r="IC267" s="10"/>
      <c r="ID267" s="10"/>
      <c r="IE267" s="10" t="s">
        <v>1</v>
      </c>
      <c r="IF267" s="10" t="s">
        <v>1</v>
      </c>
      <c r="IG267" s="10"/>
      <c r="IH267" s="10"/>
      <c r="II267" s="10"/>
      <c r="IJ267" s="10"/>
      <c r="IK267" s="10"/>
      <c r="IL267" s="10"/>
      <c r="IM267" s="10"/>
      <c r="IN267" s="10"/>
      <c r="IO267" s="10"/>
      <c r="IP267" s="10"/>
      <c r="IQ267" s="10"/>
      <c r="IR267" s="10"/>
      <c r="IS267" t="s">
        <v>1</v>
      </c>
      <c r="IT267" t="s">
        <v>1</v>
      </c>
      <c r="IW267" t="s">
        <v>1</v>
      </c>
      <c r="IX267" t="s">
        <v>1</v>
      </c>
      <c r="IY267" t="s">
        <v>808</v>
      </c>
      <c r="IZ267">
        <v>2925</v>
      </c>
      <c r="JA267" t="s">
        <v>1</v>
      </c>
      <c r="JB267" s="3" t="s">
        <v>1</v>
      </c>
      <c r="JC267" t="s">
        <v>1</v>
      </c>
      <c r="JD267" s="4" t="s">
        <v>1</v>
      </c>
      <c r="JE267" t="s">
        <v>810</v>
      </c>
      <c r="JF267">
        <v>100</v>
      </c>
      <c r="JR267" t="s">
        <v>1066</v>
      </c>
      <c r="JS267">
        <v>6</v>
      </c>
      <c r="JU267" t="s">
        <v>1</v>
      </c>
      <c r="JW267" t="s">
        <v>1</v>
      </c>
      <c r="JX267">
        <v>0</v>
      </c>
      <c r="JY267">
        <v>57.999999999999993</v>
      </c>
      <c r="JZ267" t="s">
        <v>800</v>
      </c>
      <c r="KA267" t="s">
        <v>282</v>
      </c>
      <c r="KB267" t="s">
        <v>738</v>
      </c>
      <c r="KC267" t="s">
        <v>1067</v>
      </c>
      <c r="KD267" s="1">
        <f>AVERAGE(14.12,9.32)</f>
        <v>11.719999999999999</v>
      </c>
      <c r="KE267" s="1" t="s">
        <v>1</v>
      </c>
      <c r="KF267" s="11" t="s">
        <v>1</v>
      </c>
      <c r="KG267">
        <v>0</v>
      </c>
      <c r="KH267">
        <v>57.999999999999993</v>
      </c>
      <c r="KI267" t="s">
        <v>800</v>
      </c>
      <c r="KJ267" t="s">
        <v>282</v>
      </c>
      <c r="KK267" t="s">
        <v>738</v>
      </c>
    </row>
    <row r="268" spans="1:297" x14ac:dyDescent="0.2">
      <c r="A268">
        <v>236</v>
      </c>
      <c r="B268" t="s">
        <v>705</v>
      </c>
      <c r="C268" t="s">
        <v>284</v>
      </c>
      <c r="D268" t="s">
        <v>279</v>
      </c>
      <c r="E268">
        <v>40</v>
      </c>
      <c r="F268" t="s">
        <v>280</v>
      </c>
      <c r="G268" t="s">
        <v>1</v>
      </c>
      <c r="H268" s="26" t="s">
        <v>1420</v>
      </c>
      <c r="I268" t="s">
        <v>1</v>
      </c>
      <c r="J268" t="s">
        <v>1</v>
      </c>
      <c r="K268" t="s">
        <v>1</v>
      </c>
      <c r="L268" t="s">
        <v>1</v>
      </c>
      <c r="M268" t="s">
        <v>1</v>
      </c>
      <c r="N268" t="s">
        <v>1</v>
      </c>
      <c r="O268" t="s">
        <v>1</v>
      </c>
      <c r="P268" t="s">
        <v>1</v>
      </c>
      <c r="Q268" t="s">
        <v>1</v>
      </c>
      <c r="R268" t="s">
        <v>1</v>
      </c>
      <c r="S268" t="s">
        <v>1</v>
      </c>
      <c r="T268" t="s">
        <v>1</v>
      </c>
      <c r="U268" t="s">
        <v>1</v>
      </c>
      <c r="V268" t="s">
        <v>1</v>
      </c>
      <c r="W268" t="s">
        <v>1</v>
      </c>
      <c r="X268" t="s">
        <v>1</v>
      </c>
      <c r="Y268" t="s">
        <v>1</v>
      </c>
      <c r="Z268" t="s">
        <v>1</v>
      </c>
      <c r="AA268" t="s">
        <v>1</v>
      </c>
      <c r="AB268" t="s">
        <v>1</v>
      </c>
      <c r="AC268" t="s">
        <v>1</v>
      </c>
      <c r="AD268" t="s">
        <v>1</v>
      </c>
      <c r="AE268" t="s">
        <v>1</v>
      </c>
      <c r="AF268" t="s">
        <v>1</v>
      </c>
      <c r="AG268" t="s">
        <v>1</v>
      </c>
      <c r="AH268" t="s">
        <v>1</v>
      </c>
      <c r="AI268" t="s">
        <v>1</v>
      </c>
      <c r="AJ268" t="s">
        <v>1</v>
      </c>
      <c r="AK268" t="s">
        <v>1</v>
      </c>
      <c r="AL268" t="s">
        <v>1</v>
      </c>
      <c r="AM268" t="s">
        <v>1</v>
      </c>
      <c r="AN268">
        <v>236</v>
      </c>
      <c r="AO268">
        <f t="shared" si="36"/>
        <v>236</v>
      </c>
      <c r="AP268">
        <f t="shared" si="40"/>
        <v>40</v>
      </c>
      <c r="AQ268">
        <f t="shared" si="41"/>
        <v>40</v>
      </c>
      <c r="AR268" s="26" t="s">
        <v>1355</v>
      </c>
      <c r="AS268" s="26" t="s">
        <v>1356</v>
      </c>
      <c r="AT268" t="s">
        <v>710</v>
      </c>
      <c r="AU268" t="s">
        <v>1</v>
      </c>
      <c r="AV268" t="s">
        <v>1</v>
      </c>
      <c r="AW268">
        <v>30.82</v>
      </c>
      <c r="AX268">
        <v>112.17</v>
      </c>
      <c r="AY268" t="s">
        <v>737</v>
      </c>
      <c r="BA268" s="3">
        <v>3</v>
      </c>
      <c r="BB268" s="3"/>
      <c r="BC268" s="3"/>
      <c r="BD268" s="3"/>
      <c r="BE268" s="3"/>
      <c r="BF268">
        <v>2008</v>
      </c>
      <c r="BG268" s="24" t="s">
        <v>733</v>
      </c>
      <c r="BH268" s="24" t="s">
        <v>733</v>
      </c>
      <c r="BI268" s="24" t="s">
        <v>733</v>
      </c>
      <c r="BJ268" s="24" t="s">
        <v>732</v>
      </c>
      <c r="BK268" s="24" t="s">
        <v>733</v>
      </c>
      <c r="BL268" s="25" t="s">
        <v>733</v>
      </c>
      <c r="BM268" s="24" t="s">
        <v>733</v>
      </c>
      <c r="BN268" s="24" t="s">
        <v>732</v>
      </c>
      <c r="BO268" s="24" t="s">
        <v>733</v>
      </c>
      <c r="BP268" s="24" t="s">
        <v>733</v>
      </c>
      <c r="BQ268" s="24" t="s">
        <v>945</v>
      </c>
      <c r="BR268" s="24" t="s">
        <v>945</v>
      </c>
      <c r="BS268" s="25" t="s">
        <v>934</v>
      </c>
      <c r="BT268" s="24" t="s">
        <v>934</v>
      </c>
      <c r="BU268" s="24" t="s">
        <v>934</v>
      </c>
      <c r="BV268" s="24" t="s">
        <v>934</v>
      </c>
      <c r="BW268" s="24" t="s">
        <v>934</v>
      </c>
      <c r="BX268" s="24" t="s">
        <v>934</v>
      </c>
      <c r="BY268" s="25" t="s">
        <v>945</v>
      </c>
      <c r="BZ268" t="s">
        <v>1410</v>
      </c>
      <c r="CB268" t="s">
        <v>118</v>
      </c>
      <c r="CC268" s="15">
        <f>AVERAGE(6750,7973,6875,7858)</f>
        <v>7364</v>
      </c>
      <c r="CD268" s="15"/>
      <c r="CE268" s="15"/>
      <c r="CF268" t="s">
        <v>793</v>
      </c>
      <c r="CG268">
        <v>100</v>
      </c>
      <c r="CH268" t="s">
        <v>805</v>
      </c>
      <c r="CI268" s="28">
        <v>0.4</v>
      </c>
      <c r="CJ268" s="9" t="s">
        <v>1</v>
      </c>
      <c r="CK268" s="9" t="s">
        <v>1</v>
      </c>
      <c r="CL268" s="4" t="s">
        <v>1</v>
      </c>
      <c r="CM268" s="4" t="s">
        <v>1</v>
      </c>
      <c r="CN268" s="4" t="s">
        <v>1</v>
      </c>
      <c r="CO268" s="4" t="s">
        <v>1</v>
      </c>
      <c r="CP268" s="4" t="s">
        <v>1</v>
      </c>
      <c r="CQ268" s="4" t="s">
        <v>1</v>
      </c>
      <c r="CR268" s="4" t="s">
        <v>1</v>
      </c>
      <c r="CS268" s="4" t="s">
        <v>1</v>
      </c>
      <c r="CT268" s="4" t="s">
        <v>1</v>
      </c>
      <c r="CU268" s="4" t="s">
        <v>1</v>
      </c>
      <c r="CV268" s="37" t="s">
        <v>849</v>
      </c>
      <c r="CW268">
        <v>100</v>
      </c>
      <c r="CX268">
        <v>0</v>
      </c>
      <c r="CY268">
        <v>30</v>
      </c>
      <c r="CZ268" s="26" t="s">
        <v>1358</v>
      </c>
      <c r="DA268" t="s">
        <v>734</v>
      </c>
      <c r="DB268">
        <v>12.7</v>
      </c>
      <c r="DC268">
        <v>0</v>
      </c>
      <c r="DD268">
        <v>30</v>
      </c>
      <c r="DE268" s="26" t="s">
        <v>1358</v>
      </c>
      <c r="DF268" t="s">
        <v>735</v>
      </c>
      <c r="DG268">
        <v>23.3</v>
      </c>
      <c r="DH268">
        <v>0</v>
      </c>
      <c r="DI268">
        <v>30</v>
      </c>
      <c r="DJ268" s="26" t="s">
        <v>1358</v>
      </c>
      <c r="DK268" t="s">
        <v>736</v>
      </c>
      <c r="DL268">
        <v>64</v>
      </c>
      <c r="DM268">
        <v>0</v>
      </c>
      <c r="DN268">
        <v>30</v>
      </c>
      <c r="DO268" s="26" t="s">
        <v>1358</v>
      </c>
      <c r="DP268" t="s">
        <v>6</v>
      </c>
      <c r="DQ268" t="s">
        <v>1</v>
      </c>
      <c r="DR268">
        <v>6.8</v>
      </c>
      <c r="DS268">
        <v>0</v>
      </c>
      <c r="DT268">
        <v>30</v>
      </c>
      <c r="DU268" s="26" t="s">
        <v>1358</v>
      </c>
      <c r="EA268" t="s">
        <v>982</v>
      </c>
      <c r="EB268">
        <v>9</v>
      </c>
      <c r="EC268">
        <v>0</v>
      </c>
      <c r="ED268">
        <v>30</v>
      </c>
      <c r="EE268" s="26" t="s">
        <v>1358</v>
      </c>
      <c r="EF268" s="26"/>
      <c r="FZ268" t="s">
        <v>806</v>
      </c>
      <c r="GA268">
        <v>552</v>
      </c>
      <c r="GE268" s="26" t="s">
        <v>1358</v>
      </c>
      <c r="HA268" s="5" t="s">
        <v>1</v>
      </c>
      <c r="HB268" s="4" t="s">
        <v>1</v>
      </c>
      <c r="HC268" t="s">
        <v>1</v>
      </c>
      <c r="HD268" t="s">
        <v>1</v>
      </c>
      <c r="HE268" t="s">
        <v>1</v>
      </c>
      <c r="HF268" s="5" t="s">
        <v>1063</v>
      </c>
      <c r="HG268" s="4">
        <v>1.2</v>
      </c>
      <c r="HH268">
        <v>0</v>
      </c>
      <c r="HI268">
        <v>30</v>
      </c>
      <c r="HJ268" s="26" t="s">
        <v>1358</v>
      </c>
      <c r="HK268" t="s">
        <v>815</v>
      </c>
      <c r="HL268">
        <v>1.25</v>
      </c>
      <c r="HM268">
        <v>0</v>
      </c>
      <c r="HN268">
        <v>30</v>
      </c>
      <c r="HO268" t="s">
        <v>1</v>
      </c>
      <c r="HP268" s="26" t="s">
        <v>1358</v>
      </c>
      <c r="HZ268" t="s">
        <v>969</v>
      </c>
      <c r="IA268">
        <v>180</v>
      </c>
      <c r="IB268" s="10" t="s">
        <v>1</v>
      </c>
      <c r="IC268" s="10"/>
      <c r="ID268" s="10"/>
      <c r="IE268" s="10" t="s">
        <v>1</v>
      </c>
      <c r="IF268" s="10" t="s">
        <v>1</v>
      </c>
      <c r="IG268" s="10"/>
      <c r="IH268" s="10"/>
      <c r="II268" s="10"/>
      <c r="IJ268" s="10"/>
      <c r="IK268" s="10"/>
      <c r="IL268" s="10"/>
      <c r="IM268" s="10"/>
      <c r="IN268" s="10"/>
      <c r="IO268" s="10"/>
      <c r="IP268" s="10"/>
      <c r="IQ268" s="10"/>
      <c r="IR268" s="10"/>
      <c r="IS268" t="s">
        <v>1</v>
      </c>
      <c r="IT268" t="s">
        <v>1</v>
      </c>
      <c r="IW268" t="s">
        <v>1</v>
      </c>
      <c r="IX268" t="s">
        <v>1</v>
      </c>
      <c r="IY268" t="s">
        <v>808</v>
      </c>
      <c r="IZ268">
        <v>3150</v>
      </c>
      <c r="JA268" t="s">
        <v>1</v>
      </c>
      <c r="JB268" s="3" t="s">
        <v>1</v>
      </c>
      <c r="JC268" t="s">
        <v>1</v>
      </c>
      <c r="JD268" s="4" t="s">
        <v>1</v>
      </c>
      <c r="JE268" t="s">
        <v>810</v>
      </c>
      <c r="JF268">
        <v>100</v>
      </c>
      <c r="JR268" t="s">
        <v>1066</v>
      </c>
      <c r="JS268">
        <v>6.3</v>
      </c>
      <c r="JU268" t="s">
        <v>1</v>
      </c>
      <c r="JW268" t="s">
        <v>1</v>
      </c>
      <c r="JX268">
        <v>0</v>
      </c>
      <c r="JY268">
        <v>57.999999999999993</v>
      </c>
      <c r="JZ268" t="s">
        <v>800</v>
      </c>
      <c r="KA268" t="s">
        <v>282</v>
      </c>
      <c r="KB268" t="s">
        <v>738</v>
      </c>
      <c r="KC268" t="s">
        <v>1067</v>
      </c>
      <c r="KD268" s="1">
        <f>AVERAGE(16.78,13.46)</f>
        <v>15.120000000000001</v>
      </c>
      <c r="KE268" s="1" t="s">
        <v>1</v>
      </c>
      <c r="KF268" s="11" t="s">
        <v>1</v>
      </c>
      <c r="KG268">
        <v>0</v>
      </c>
      <c r="KH268">
        <v>57.999999999999993</v>
      </c>
      <c r="KI268" t="s">
        <v>800</v>
      </c>
      <c r="KJ268" t="s">
        <v>282</v>
      </c>
      <c r="KK268" t="s">
        <v>738</v>
      </c>
    </row>
    <row r="269" spans="1:297" x14ac:dyDescent="0.2">
      <c r="A269">
        <v>237</v>
      </c>
      <c r="B269" t="s">
        <v>705</v>
      </c>
      <c r="C269" t="s">
        <v>135</v>
      </c>
      <c r="D269" t="s">
        <v>285</v>
      </c>
      <c r="E269">
        <v>41</v>
      </c>
      <c r="F269" t="s">
        <v>701</v>
      </c>
      <c r="G269" t="s">
        <v>1</v>
      </c>
      <c r="H269" s="26" t="s">
        <v>1420</v>
      </c>
      <c r="I269" t="s">
        <v>1</v>
      </c>
      <c r="J269" t="s">
        <v>1</v>
      </c>
      <c r="K269" t="s">
        <v>1</v>
      </c>
      <c r="L269" t="s">
        <v>1</v>
      </c>
      <c r="M269" t="s">
        <v>1</v>
      </c>
      <c r="N269" t="s">
        <v>1</v>
      </c>
      <c r="O269" t="s">
        <v>1</v>
      </c>
      <c r="P269" t="s">
        <v>1</v>
      </c>
      <c r="Q269" t="s">
        <v>1</v>
      </c>
      <c r="R269" t="s">
        <v>1</v>
      </c>
      <c r="S269" t="s">
        <v>1</v>
      </c>
      <c r="T269" t="s">
        <v>1</v>
      </c>
      <c r="U269" t="s">
        <v>1</v>
      </c>
      <c r="V269" t="s">
        <v>1</v>
      </c>
      <c r="W269" t="s">
        <v>1</v>
      </c>
      <c r="X269" t="s">
        <v>1</v>
      </c>
      <c r="Y269" t="s">
        <v>1</v>
      </c>
      <c r="Z269" t="s">
        <v>1</v>
      </c>
      <c r="AA269" t="s">
        <v>1</v>
      </c>
      <c r="AB269" t="s">
        <v>1</v>
      </c>
      <c r="AC269" t="s">
        <v>1</v>
      </c>
      <c r="AD269" t="s">
        <v>1</v>
      </c>
      <c r="AE269" t="s">
        <v>1</v>
      </c>
      <c r="AF269" t="s">
        <v>1</v>
      </c>
      <c r="AG269" t="s">
        <v>1</v>
      </c>
      <c r="AH269" t="s">
        <v>1</v>
      </c>
      <c r="AI269" t="s">
        <v>1</v>
      </c>
      <c r="AJ269" t="s">
        <v>1</v>
      </c>
      <c r="AK269" t="s">
        <v>1</v>
      </c>
      <c r="AL269" t="s">
        <v>1</v>
      </c>
      <c r="AM269" t="s">
        <v>1</v>
      </c>
      <c r="AN269">
        <v>237</v>
      </c>
      <c r="AO269">
        <f t="shared" si="36"/>
        <v>237</v>
      </c>
      <c r="AP269">
        <f t="shared" si="40"/>
        <v>41</v>
      </c>
      <c r="AQ269">
        <f t="shared" si="41"/>
        <v>41</v>
      </c>
      <c r="AR269" s="26" t="s">
        <v>1355</v>
      </c>
      <c r="AS269" s="26" t="s">
        <v>1356</v>
      </c>
      <c r="AT269" t="s">
        <v>721</v>
      </c>
      <c r="AU269" t="s">
        <v>1</v>
      </c>
      <c r="AV269" t="s">
        <v>1</v>
      </c>
      <c r="AW269">
        <v>14.07</v>
      </c>
      <c r="AX269">
        <v>100.62</v>
      </c>
      <c r="AY269" t="s">
        <v>737</v>
      </c>
      <c r="BA269" s="3">
        <v>3</v>
      </c>
      <c r="BB269" s="3"/>
      <c r="BC269" s="3"/>
      <c r="BD269" s="3"/>
      <c r="BE269" s="3"/>
      <c r="BF269">
        <v>1999</v>
      </c>
      <c r="BG269" s="24" t="s">
        <v>733</v>
      </c>
      <c r="BH269" s="24" t="s">
        <v>733</v>
      </c>
      <c r="BI269" s="24" t="s">
        <v>733</v>
      </c>
      <c r="BJ269" s="24" t="s">
        <v>732</v>
      </c>
      <c r="BK269" s="24" t="s">
        <v>733</v>
      </c>
      <c r="BL269" s="25" t="s">
        <v>733</v>
      </c>
      <c r="BM269" s="24" t="s">
        <v>733</v>
      </c>
      <c r="BN269" s="24" t="s">
        <v>732</v>
      </c>
      <c r="BO269" s="24" t="s">
        <v>733</v>
      </c>
      <c r="BP269" s="24" t="s">
        <v>733</v>
      </c>
      <c r="BQ269" s="24" t="s">
        <v>945</v>
      </c>
      <c r="BR269" s="24" t="s">
        <v>945</v>
      </c>
      <c r="BS269" s="25" t="s">
        <v>934</v>
      </c>
      <c r="BT269" s="24" t="s">
        <v>934</v>
      </c>
      <c r="BU269" s="24" t="s">
        <v>934</v>
      </c>
      <c r="BV269" s="24" t="s">
        <v>934</v>
      </c>
      <c r="BW269" s="24" t="s">
        <v>934</v>
      </c>
      <c r="BX269" s="24" t="s">
        <v>934</v>
      </c>
      <c r="BY269" s="25" t="s">
        <v>945</v>
      </c>
      <c r="BZ269" s="36" t="s">
        <v>1412</v>
      </c>
      <c r="CB269" t="s">
        <v>1</v>
      </c>
      <c r="CC269" s="4">
        <f>AVERAGE(550,970)</f>
        <v>760</v>
      </c>
      <c r="CD269" s="4"/>
      <c r="CE269" s="4"/>
      <c r="CF269" t="s">
        <v>793</v>
      </c>
      <c r="CG269">
        <v>100</v>
      </c>
      <c r="CH269" t="s">
        <v>805</v>
      </c>
      <c r="CI269" s="1">
        <v>0.6</v>
      </c>
      <c r="CJ269" s="9" t="s">
        <v>1</v>
      </c>
      <c r="CK269" t="s">
        <v>807</v>
      </c>
      <c r="CL269" s="4">
        <f>(AVERAGE(2220,4100)-760/0.87)*35%</f>
        <v>800.25287356321837</v>
      </c>
      <c r="CM269" t="s">
        <v>847</v>
      </c>
      <c r="CN269" s="4">
        <f>AVERAGE(15,19.8)</f>
        <v>17.399999999999999</v>
      </c>
      <c r="CO269" s="4" t="s">
        <v>1</v>
      </c>
      <c r="CP269" s="4" t="s">
        <v>1</v>
      </c>
      <c r="CQ269" s="4" t="s">
        <v>1</v>
      </c>
      <c r="CR269" s="4" t="s">
        <v>1</v>
      </c>
      <c r="CS269" s="4" t="s">
        <v>1</v>
      </c>
      <c r="CT269" s="4" t="s">
        <v>1</v>
      </c>
      <c r="CU269" s="4" t="s">
        <v>1</v>
      </c>
      <c r="CV269" s="37" t="s">
        <v>849</v>
      </c>
      <c r="CW269">
        <v>100</v>
      </c>
      <c r="CX269">
        <v>0</v>
      </c>
      <c r="CY269">
        <v>30</v>
      </c>
      <c r="CZ269" s="26" t="s">
        <v>1358</v>
      </c>
      <c r="DA269" t="s">
        <v>734</v>
      </c>
      <c r="DB269">
        <v>12.8</v>
      </c>
      <c r="DC269">
        <v>0</v>
      </c>
      <c r="DD269">
        <v>30</v>
      </c>
      <c r="DE269" s="26" t="s">
        <v>1358</v>
      </c>
      <c r="DF269" t="s">
        <v>735</v>
      </c>
      <c r="DG269">
        <v>25.8</v>
      </c>
      <c r="DH269">
        <v>0</v>
      </c>
      <c r="DI269">
        <v>30</v>
      </c>
      <c r="DJ269" s="26" t="s">
        <v>1358</v>
      </c>
      <c r="DK269" t="s">
        <v>736</v>
      </c>
      <c r="DL269">
        <v>61.5</v>
      </c>
      <c r="DM269">
        <v>0</v>
      </c>
      <c r="DN269">
        <v>30</v>
      </c>
      <c r="DO269" s="26" t="s">
        <v>1358</v>
      </c>
      <c r="DP269" t="s">
        <v>6</v>
      </c>
      <c r="DQ269" t="s">
        <v>1</v>
      </c>
      <c r="DR269">
        <v>5.6</v>
      </c>
      <c r="DS269">
        <v>0</v>
      </c>
      <c r="DT269">
        <v>30</v>
      </c>
      <c r="DU269" s="26" t="s">
        <v>1358</v>
      </c>
      <c r="EA269" t="s">
        <v>982</v>
      </c>
      <c r="EB269">
        <v>44.699999999999996</v>
      </c>
      <c r="EC269">
        <v>0</v>
      </c>
      <c r="ED269">
        <v>30</v>
      </c>
      <c r="EE269" s="26" t="s">
        <v>1358</v>
      </c>
      <c r="EF269" s="26"/>
      <c r="FZ269" t="s">
        <v>806</v>
      </c>
      <c r="GA269">
        <v>394.5</v>
      </c>
      <c r="GE269" s="26" t="s">
        <v>1358</v>
      </c>
      <c r="HA269" s="5" t="s">
        <v>1069</v>
      </c>
      <c r="HB269" s="4">
        <v>32.65</v>
      </c>
      <c r="HC269">
        <v>0</v>
      </c>
      <c r="HD269">
        <v>30</v>
      </c>
      <c r="HE269" s="26" t="s">
        <v>1358</v>
      </c>
      <c r="HF269" s="5" t="s">
        <v>1063</v>
      </c>
      <c r="HG269" s="4">
        <v>1.1499999999999999</v>
      </c>
      <c r="HH269">
        <v>0</v>
      </c>
      <c r="HI269">
        <v>30</v>
      </c>
      <c r="HJ269" s="26" t="s">
        <v>1358</v>
      </c>
      <c r="HK269" t="s">
        <v>815</v>
      </c>
      <c r="HL269">
        <v>1.32</v>
      </c>
      <c r="HM269">
        <v>0</v>
      </c>
      <c r="HN269">
        <v>30</v>
      </c>
      <c r="HO269" t="s">
        <v>1</v>
      </c>
      <c r="HP269" s="26" t="s">
        <v>1358</v>
      </c>
      <c r="HZ269" t="s">
        <v>1</v>
      </c>
      <c r="IA269" t="s">
        <v>1</v>
      </c>
      <c r="IB269" s="10" t="s">
        <v>1</v>
      </c>
      <c r="IC269" s="10"/>
      <c r="ID269" s="10"/>
      <c r="IE269" s="10" t="s">
        <v>1</v>
      </c>
      <c r="IF269" s="10" t="s">
        <v>1</v>
      </c>
      <c r="IG269" s="10"/>
      <c r="IH269" s="10"/>
      <c r="II269" s="10"/>
      <c r="IJ269" s="10"/>
      <c r="IK269" s="10"/>
      <c r="IL269" s="10"/>
      <c r="IM269" s="10"/>
      <c r="IN269" s="10"/>
      <c r="IO269" s="10"/>
      <c r="IP269" s="10"/>
      <c r="IQ269" s="10"/>
      <c r="IR269" s="10"/>
      <c r="IS269" t="s">
        <v>1</v>
      </c>
      <c r="IT269" t="s">
        <v>1</v>
      </c>
      <c r="IW269" t="s">
        <v>1</v>
      </c>
      <c r="IX269" t="s">
        <v>1</v>
      </c>
      <c r="IY269" t="s">
        <v>808</v>
      </c>
      <c r="IZ269">
        <v>3385</v>
      </c>
      <c r="JA269" t="s">
        <v>1</v>
      </c>
      <c r="JB269" s="3" t="s">
        <v>1</v>
      </c>
      <c r="JC269" t="s">
        <v>1</v>
      </c>
      <c r="JD269" s="4" t="s">
        <v>1</v>
      </c>
      <c r="JE269" t="s">
        <v>810</v>
      </c>
      <c r="JF269">
        <v>100</v>
      </c>
      <c r="JR269" t="s">
        <v>1066</v>
      </c>
      <c r="JS269">
        <v>9.1</v>
      </c>
      <c r="JU269" t="s">
        <v>1</v>
      </c>
      <c r="JW269" t="s">
        <v>1</v>
      </c>
      <c r="JX269">
        <v>0</v>
      </c>
      <c r="JY269">
        <v>60</v>
      </c>
      <c r="JZ269" t="s">
        <v>800</v>
      </c>
      <c r="KA269" t="s">
        <v>286</v>
      </c>
      <c r="KB269" t="s">
        <v>738</v>
      </c>
      <c r="KC269" t="s">
        <v>1</v>
      </c>
      <c r="KD269" t="s">
        <v>1</v>
      </c>
      <c r="KE269" s="1" t="s">
        <v>1</v>
      </c>
      <c r="KF269" t="s">
        <v>1</v>
      </c>
      <c r="KG269" t="s">
        <v>1</v>
      </c>
      <c r="KH269" t="s">
        <v>1</v>
      </c>
      <c r="KI269" t="s">
        <v>1</v>
      </c>
      <c r="KJ269" t="s">
        <v>1</v>
      </c>
      <c r="KK269" t="s">
        <v>1</v>
      </c>
    </row>
    <row r="270" spans="1:297" x14ac:dyDescent="0.2">
      <c r="A270">
        <v>238</v>
      </c>
      <c r="B270" t="s">
        <v>705</v>
      </c>
      <c r="C270" t="s">
        <v>17</v>
      </c>
      <c r="D270" t="s">
        <v>285</v>
      </c>
      <c r="E270">
        <v>41</v>
      </c>
      <c r="F270" t="s">
        <v>701</v>
      </c>
      <c r="G270" t="s">
        <v>1</v>
      </c>
      <c r="H270" s="26" t="s">
        <v>1420</v>
      </c>
      <c r="I270" t="s">
        <v>1</v>
      </c>
      <c r="J270" t="s">
        <v>1</v>
      </c>
      <c r="K270" t="s">
        <v>1</v>
      </c>
      <c r="L270" t="s">
        <v>1</v>
      </c>
      <c r="M270" t="s">
        <v>1</v>
      </c>
      <c r="N270" t="s">
        <v>1</v>
      </c>
      <c r="O270" t="s">
        <v>1</v>
      </c>
      <c r="P270" t="s">
        <v>1</v>
      </c>
      <c r="Q270" t="s">
        <v>1</v>
      </c>
      <c r="R270" t="s">
        <v>1</v>
      </c>
      <c r="S270" t="s">
        <v>1</v>
      </c>
      <c r="T270" t="s">
        <v>1</v>
      </c>
      <c r="U270" t="s">
        <v>1</v>
      </c>
      <c r="V270" t="s">
        <v>1</v>
      </c>
      <c r="W270" t="s">
        <v>1</v>
      </c>
      <c r="X270" t="s">
        <v>1</v>
      </c>
      <c r="Y270" t="s">
        <v>1</v>
      </c>
      <c r="Z270" t="s">
        <v>1</v>
      </c>
      <c r="AA270" t="s">
        <v>1</v>
      </c>
      <c r="AB270" t="s">
        <v>1</v>
      </c>
      <c r="AC270" t="s">
        <v>1</v>
      </c>
      <c r="AD270" t="s">
        <v>1</v>
      </c>
      <c r="AE270" t="s">
        <v>1</v>
      </c>
      <c r="AF270" t="s">
        <v>1</v>
      </c>
      <c r="AG270" t="s">
        <v>1</v>
      </c>
      <c r="AH270" t="s">
        <v>1</v>
      </c>
      <c r="AI270" t="s">
        <v>1</v>
      </c>
      <c r="AJ270" t="s">
        <v>1</v>
      </c>
      <c r="AK270" t="s">
        <v>1</v>
      </c>
      <c r="AL270" t="s">
        <v>1</v>
      </c>
      <c r="AM270" t="s">
        <v>1</v>
      </c>
      <c r="AN270">
        <v>238</v>
      </c>
      <c r="AO270">
        <f t="shared" si="36"/>
        <v>238</v>
      </c>
      <c r="AP270">
        <f t="shared" si="40"/>
        <v>41</v>
      </c>
      <c r="AQ270">
        <f t="shared" si="41"/>
        <v>41</v>
      </c>
      <c r="AR270" s="26" t="s">
        <v>1355</v>
      </c>
      <c r="AS270" s="26" t="s">
        <v>1356</v>
      </c>
      <c r="AT270" t="s">
        <v>721</v>
      </c>
      <c r="AU270" t="s">
        <v>1</v>
      </c>
      <c r="AV270" t="s">
        <v>1</v>
      </c>
      <c r="AW270">
        <v>14.07</v>
      </c>
      <c r="AX270">
        <v>100.62</v>
      </c>
      <c r="AY270" t="s">
        <v>737</v>
      </c>
      <c r="BA270" s="3">
        <v>3</v>
      </c>
      <c r="BB270" s="3"/>
      <c r="BC270" s="3"/>
      <c r="BD270" s="3"/>
      <c r="BE270" s="3"/>
      <c r="BF270">
        <v>1999</v>
      </c>
      <c r="BG270" s="24" t="s">
        <v>733</v>
      </c>
      <c r="BH270" s="24" t="s">
        <v>733</v>
      </c>
      <c r="BI270" s="24" t="s">
        <v>733</v>
      </c>
      <c r="BJ270" s="24" t="s">
        <v>732</v>
      </c>
      <c r="BK270" s="24" t="s">
        <v>733</v>
      </c>
      <c r="BL270" s="25" t="s">
        <v>733</v>
      </c>
      <c r="BM270" s="24" t="s">
        <v>733</v>
      </c>
      <c r="BN270" s="24" t="s">
        <v>732</v>
      </c>
      <c r="BO270" s="24" t="s">
        <v>733</v>
      </c>
      <c r="BP270" s="24" t="s">
        <v>733</v>
      </c>
      <c r="BQ270" s="24" t="s">
        <v>945</v>
      </c>
      <c r="BR270" s="24" t="s">
        <v>945</v>
      </c>
      <c r="BS270" s="25" t="s">
        <v>934</v>
      </c>
      <c r="BT270" s="24" t="s">
        <v>934</v>
      </c>
      <c r="BU270" s="24" t="s">
        <v>934</v>
      </c>
      <c r="BV270" s="24" t="s">
        <v>934</v>
      </c>
      <c r="BW270" s="24" t="s">
        <v>934</v>
      </c>
      <c r="BX270" s="24" t="s">
        <v>934</v>
      </c>
      <c r="BY270" s="25" t="s">
        <v>945</v>
      </c>
      <c r="BZ270" s="36" t="s">
        <v>1412</v>
      </c>
      <c r="CB270" t="s">
        <v>1</v>
      </c>
      <c r="CC270" s="4">
        <f>AVERAGE(2650,4440)</f>
        <v>3545</v>
      </c>
      <c r="CD270" s="4"/>
      <c r="CE270" s="4"/>
      <c r="CF270" t="s">
        <v>793</v>
      </c>
      <c r="CG270">
        <v>100</v>
      </c>
      <c r="CH270" t="s">
        <v>805</v>
      </c>
      <c r="CI270" s="1">
        <v>0.6</v>
      </c>
      <c r="CJ270" s="9" t="s">
        <v>1</v>
      </c>
      <c r="CK270" t="s">
        <v>807</v>
      </c>
      <c r="CL270" s="4">
        <f>(AVERAGE(7605,13540)-3545/0.87)*35%</f>
        <v>2274.2255747126437</v>
      </c>
      <c r="CM270" t="s">
        <v>847</v>
      </c>
      <c r="CN270" s="4">
        <f>AVERAGE(90.6,110.1)</f>
        <v>100.35</v>
      </c>
      <c r="CO270" s="4" t="s">
        <v>1</v>
      </c>
      <c r="CP270" s="4" t="s">
        <v>1</v>
      </c>
      <c r="CQ270" s="4" t="s">
        <v>1</v>
      </c>
      <c r="CR270" s="4" t="s">
        <v>1</v>
      </c>
      <c r="CS270" s="4" t="s">
        <v>1</v>
      </c>
      <c r="CT270" s="4" t="s">
        <v>1</v>
      </c>
      <c r="CU270" s="4" t="s">
        <v>1</v>
      </c>
      <c r="CV270" s="37" t="s">
        <v>849</v>
      </c>
      <c r="CW270">
        <v>100</v>
      </c>
      <c r="CX270">
        <v>0</v>
      </c>
      <c r="CY270">
        <v>30</v>
      </c>
      <c r="CZ270" s="26" t="s">
        <v>1358</v>
      </c>
      <c r="DA270" t="s">
        <v>734</v>
      </c>
      <c r="DB270">
        <v>12.8</v>
      </c>
      <c r="DC270">
        <v>0</v>
      </c>
      <c r="DD270">
        <v>30</v>
      </c>
      <c r="DE270" s="26" t="s">
        <v>1358</v>
      </c>
      <c r="DF270" t="s">
        <v>735</v>
      </c>
      <c r="DG270">
        <v>25.8</v>
      </c>
      <c r="DH270">
        <v>0</v>
      </c>
      <c r="DI270">
        <v>30</v>
      </c>
      <c r="DJ270" s="26" t="s">
        <v>1358</v>
      </c>
      <c r="DK270" t="s">
        <v>736</v>
      </c>
      <c r="DL270">
        <v>61.5</v>
      </c>
      <c r="DM270">
        <v>0</v>
      </c>
      <c r="DN270">
        <v>30</v>
      </c>
      <c r="DO270" s="26" t="s">
        <v>1358</v>
      </c>
      <c r="DP270" t="s">
        <v>6</v>
      </c>
      <c r="DQ270" t="s">
        <v>1</v>
      </c>
      <c r="DR270">
        <v>5.6</v>
      </c>
      <c r="DS270">
        <v>0</v>
      </c>
      <c r="DT270">
        <v>30</v>
      </c>
      <c r="DU270" s="26" t="s">
        <v>1358</v>
      </c>
      <c r="EA270" t="s">
        <v>982</v>
      </c>
      <c r="EB270">
        <v>44.699999999999996</v>
      </c>
      <c r="EC270">
        <v>0</v>
      </c>
      <c r="ED270">
        <v>30</v>
      </c>
      <c r="EE270" s="26" t="s">
        <v>1358</v>
      </c>
      <c r="EF270" s="26"/>
      <c r="FZ270" t="s">
        <v>806</v>
      </c>
      <c r="GA270">
        <v>394.5</v>
      </c>
      <c r="GE270" s="26" t="s">
        <v>1358</v>
      </c>
      <c r="HA270" s="5" t="s">
        <v>1069</v>
      </c>
      <c r="HB270" s="4">
        <v>32.65</v>
      </c>
      <c r="HC270">
        <v>0</v>
      </c>
      <c r="HD270">
        <v>30</v>
      </c>
      <c r="HE270" s="26" t="s">
        <v>1358</v>
      </c>
      <c r="HF270" s="5" t="s">
        <v>1063</v>
      </c>
      <c r="HG270" s="4">
        <v>1.1499999999999999</v>
      </c>
      <c r="HH270">
        <v>0</v>
      </c>
      <c r="HI270">
        <v>30</v>
      </c>
      <c r="HJ270" s="26" t="s">
        <v>1358</v>
      </c>
      <c r="HK270" t="s">
        <v>815</v>
      </c>
      <c r="HL270">
        <v>1.32</v>
      </c>
      <c r="HM270">
        <v>0</v>
      </c>
      <c r="HN270">
        <v>30</v>
      </c>
      <c r="HO270" t="s">
        <v>1</v>
      </c>
      <c r="HP270" s="26" t="s">
        <v>1358</v>
      </c>
      <c r="HZ270" t="s">
        <v>969</v>
      </c>
      <c r="IA270">
        <v>100</v>
      </c>
      <c r="IB270" s="10" t="s">
        <v>1</v>
      </c>
      <c r="IC270" s="10"/>
      <c r="ID270" s="10"/>
      <c r="IE270" s="10" t="s">
        <v>1</v>
      </c>
      <c r="IF270" s="10" t="s">
        <v>1</v>
      </c>
      <c r="IG270" s="10"/>
      <c r="IH270" s="10"/>
      <c r="II270" s="10"/>
      <c r="IJ270" s="10"/>
      <c r="IK270" s="10"/>
      <c r="IL270" s="10"/>
      <c r="IM270" s="10"/>
      <c r="IN270" s="10"/>
      <c r="IO270" s="10"/>
      <c r="IP270" s="10"/>
      <c r="IQ270" s="10"/>
      <c r="IR270" s="10"/>
      <c r="IS270" t="s">
        <v>1</v>
      </c>
      <c r="IT270" t="s">
        <v>1</v>
      </c>
      <c r="IW270" t="s">
        <v>1</v>
      </c>
      <c r="IX270" t="s">
        <v>1</v>
      </c>
      <c r="IY270" t="s">
        <v>808</v>
      </c>
      <c r="IZ270">
        <v>3385</v>
      </c>
      <c r="JA270" t="s">
        <v>1</v>
      </c>
      <c r="JB270" s="3" t="s">
        <v>1</v>
      </c>
      <c r="JC270" t="s">
        <v>1</v>
      </c>
      <c r="JD270" s="4" t="s">
        <v>1</v>
      </c>
      <c r="JE270" t="s">
        <v>810</v>
      </c>
      <c r="JF270">
        <v>100</v>
      </c>
      <c r="JR270" t="s">
        <v>1066</v>
      </c>
      <c r="JS270">
        <v>24.6</v>
      </c>
      <c r="JU270" t="s">
        <v>1</v>
      </c>
      <c r="JW270" t="s">
        <v>1</v>
      </c>
      <c r="JX270">
        <v>0</v>
      </c>
      <c r="JY270">
        <v>60</v>
      </c>
      <c r="JZ270" t="s">
        <v>800</v>
      </c>
      <c r="KA270" t="s">
        <v>286</v>
      </c>
      <c r="KB270" t="s">
        <v>738</v>
      </c>
      <c r="KC270" t="s">
        <v>1</v>
      </c>
      <c r="KD270" t="s">
        <v>1</v>
      </c>
      <c r="KE270" s="1" t="s">
        <v>1</v>
      </c>
      <c r="KF270" t="s">
        <v>1</v>
      </c>
      <c r="KG270" t="s">
        <v>1</v>
      </c>
      <c r="KH270" t="s">
        <v>1</v>
      </c>
      <c r="KI270" t="s">
        <v>1</v>
      </c>
      <c r="KJ270" t="s">
        <v>1</v>
      </c>
      <c r="KK270" t="s">
        <v>1</v>
      </c>
    </row>
    <row r="271" spans="1:297" x14ac:dyDescent="0.2">
      <c r="A271">
        <v>239</v>
      </c>
      <c r="B271" t="s">
        <v>705</v>
      </c>
      <c r="C271" t="s">
        <v>287</v>
      </c>
      <c r="D271" t="s">
        <v>285</v>
      </c>
      <c r="E271">
        <v>41</v>
      </c>
      <c r="F271" t="s">
        <v>701</v>
      </c>
      <c r="G271" t="s">
        <v>1</v>
      </c>
      <c r="H271" s="26" t="s">
        <v>1420</v>
      </c>
      <c r="I271" t="s">
        <v>1</v>
      </c>
      <c r="J271" t="s">
        <v>1</v>
      </c>
      <c r="K271" t="s">
        <v>1</v>
      </c>
      <c r="L271" t="s">
        <v>1</v>
      </c>
      <c r="M271" t="s">
        <v>1</v>
      </c>
      <c r="N271" t="s">
        <v>1</v>
      </c>
      <c r="O271" t="s">
        <v>1</v>
      </c>
      <c r="P271" t="s">
        <v>1</v>
      </c>
      <c r="Q271" t="s">
        <v>1</v>
      </c>
      <c r="R271" t="s">
        <v>1</v>
      </c>
      <c r="S271" t="s">
        <v>1</v>
      </c>
      <c r="T271" t="s">
        <v>1</v>
      </c>
      <c r="U271" t="s">
        <v>1</v>
      </c>
      <c r="V271" t="s">
        <v>1</v>
      </c>
      <c r="W271" t="s">
        <v>1</v>
      </c>
      <c r="X271" t="s">
        <v>1</v>
      </c>
      <c r="Y271" t="s">
        <v>1</v>
      </c>
      <c r="Z271" t="s">
        <v>1</v>
      </c>
      <c r="AA271" t="s">
        <v>1</v>
      </c>
      <c r="AB271" t="s">
        <v>1</v>
      </c>
      <c r="AC271" t="s">
        <v>1</v>
      </c>
      <c r="AD271" t="s">
        <v>1</v>
      </c>
      <c r="AE271" t="s">
        <v>1</v>
      </c>
      <c r="AF271" t="s">
        <v>1</v>
      </c>
      <c r="AG271" t="s">
        <v>1</v>
      </c>
      <c r="AH271" t="s">
        <v>1</v>
      </c>
      <c r="AI271" t="s">
        <v>1</v>
      </c>
      <c r="AJ271" t="s">
        <v>1</v>
      </c>
      <c r="AK271" t="s">
        <v>1</v>
      </c>
      <c r="AL271" t="s">
        <v>1</v>
      </c>
      <c r="AM271" t="s">
        <v>1</v>
      </c>
      <c r="AN271">
        <v>239</v>
      </c>
      <c r="AO271">
        <f t="shared" si="36"/>
        <v>239</v>
      </c>
      <c r="AP271">
        <f t="shared" si="40"/>
        <v>41</v>
      </c>
      <c r="AQ271">
        <f t="shared" si="41"/>
        <v>41</v>
      </c>
      <c r="AR271" s="26" t="s">
        <v>1355</v>
      </c>
      <c r="AS271" s="26" t="s">
        <v>1356</v>
      </c>
      <c r="AT271" t="s">
        <v>721</v>
      </c>
      <c r="AU271" t="s">
        <v>1</v>
      </c>
      <c r="AV271" t="s">
        <v>1</v>
      </c>
      <c r="AW271">
        <v>14.07</v>
      </c>
      <c r="AX271">
        <v>100.62</v>
      </c>
      <c r="AY271" t="s">
        <v>737</v>
      </c>
      <c r="BA271" s="3">
        <v>3</v>
      </c>
      <c r="BB271" s="3"/>
      <c r="BC271" s="3"/>
      <c r="BD271" s="3"/>
      <c r="BE271" s="3"/>
      <c r="BF271">
        <v>1999</v>
      </c>
      <c r="BG271" s="24" t="s">
        <v>733</v>
      </c>
      <c r="BH271" s="24" t="s">
        <v>733</v>
      </c>
      <c r="BI271" s="24" t="s">
        <v>733</v>
      </c>
      <c r="BJ271" s="24" t="s">
        <v>732</v>
      </c>
      <c r="BK271" s="24" t="s">
        <v>733</v>
      </c>
      <c r="BL271" s="25" t="s">
        <v>733</v>
      </c>
      <c r="BM271" s="24" t="s">
        <v>733</v>
      </c>
      <c r="BN271" s="24" t="s">
        <v>732</v>
      </c>
      <c r="BO271" s="24" t="s">
        <v>733</v>
      </c>
      <c r="BP271" s="24" t="s">
        <v>733</v>
      </c>
      <c r="BQ271" s="24" t="s">
        <v>945</v>
      </c>
      <c r="BR271" s="24" t="s">
        <v>945</v>
      </c>
      <c r="BS271" s="25" t="s">
        <v>934</v>
      </c>
      <c r="BT271" s="24" t="s">
        <v>934</v>
      </c>
      <c r="BU271" s="24" t="s">
        <v>934</v>
      </c>
      <c r="BV271" s="24" t="s">
        <v>934</v>
      </c>
      <c r="BW271" s="24" t="s">
        <v>934</v>
      </c>
      <c r="BX271" s="24" t="s">
        <v>934</v>
      </c>
      <c r="BY271" s="25" t="s">
        <v>945</v>
      </c>
      <c r="BZ271" s="36" t="s">
        <v>1412</v>
      </c>
      <c r="CB271" t="s">
        <v>1</v>
      </c>
      <c r="CC271" s="4">
        <f>AVERAGE(3500,5420)</f>
        <v>4460</v>
      </c>
      <c r="CD271" s="4"/>
      <c r="CE271" s="4"/>
      <c r="CF271" t="s">
        <v>793</v>
      </c>
      <c r="CG271">
        <v>100</v>
      </c>
      <c r="CH271" t="s">
        <v>805</v>
      </c>
      <c r="CI271" s="1">
        <v>0.6</v>
      </c>
      <c r="CJ271" s="9" t="s">
        <v>1</v>
      </c>
      <c r="CK271" t="s">
        <v>807</v>
      </c>
      <c r="CL271" s="4">
        <f>(AVERAGE(8070,15510)-4460/0.87)*35%</f>
        <v>2332.2471264367814</v>
      </c>
      <c r="CM271" t="s">
        <v>847</v>
      </c>
      <c r="CN271" s="4">
        <f>AVERAGE(107,160.3)</f>
        <v>133.65</v>
      </c>
      <c r="CO271" s="4" t="s">
        <v>1</v>
      </c>
      <c r="CP271" s="4" t="s">
        <v>1</v>
      </c>
      <c r="CQ271" s="4" t="s">
        <v>1</v>
      </c>
      <c r="CR271" s="4" t="s">
        <v>1</v>
      </c>
      <c r="CS271" s="4" t="s">
        <v>1</v>
      </c>
      <c r="CT271" s="4" t="s">
        <v>1</v>
      </c>
      <c r="CU271" s="4" t="s">
        <v>1</v>
      </c>
      <c r="CV271" s="37" t="s">
        <v>849</v>
      </c>
      <c r="CW271">
        <v>100</v>
      </c>
      <c r="CX271">
        <v>0</v>
      </c>
      <c r="CY271">
        <v>30</v>
      </c>
      <c r="CZ271" s="26" t="s">
        <v>1358</v>
      </c>
      <c r="DA271" t="s">
        <v>734</v>
      </c>
      <c r="DB271">
        <v>12.8</v>
      </c>
      <c r="DC271">
        <v>0</v>
      </c>
      <c r="DD271">
        <v>30</v>
      </c>
      <c r="DE271" s="26" t="s">
        <v>1358</v>
      </c>
      <c r="DF271" t="s">
        <v>735</v>
      </c>
      <c r="DG271">
        <v>25.8</v>
      </c>
      <c r="DH271">
        <v>0</v>
      </c>
      <c r="DI271">
        <v>30</v>
      </c>
      <c r="DJ271" s="26" t="s">
        <v>1358</v>
      </c>
      <c r="DK271" t="s">
        <v>736</v>
      </c>
      <c r="DL271">
        <v>61.5</v>
      </c>
      <c r="DM271">
        <v>0</v>
      </c>
      <c r="DN271">
        <v>30</v>
      </c>
      <c r="DO271" s="26" t="s">
        <v>1358</v>
      </c>
      <c r="DP271" t="s">
        <v>6</v>
      </c>
      <c r="DQ271" t="s">
        <v>1</v>
      </c>
      <c r="DR271">
        <v>5.6</v>
      </c>
      <c r="DS271">
        <v>0</v>
      </c>
      <c r="DT271">
        <v>30</v>
      </c>
      <c r="DU271" s="26" t="s">
        <v>1358</v>
      </c>
      <c r="EA271" t="s">
        <v>982</v>
      </c>
      <c r="EB271">
        <v>44.699999999999996</v>
      </c>
      <c r="EC271">
        <v>0</v>
      </c>
      <c r="ED271">
        <v>30</v>
      </c>
      <c r="EE271" s="26" t="s">
        <v>1358</v>
      </c>
      <c r="EF271" s="26"/>
      <c r="FZ271" t="s">
        <v>806</v>
      </c>
      <c r="GA271">
        <v>394.5</v>
      </c>
      <c r="GE271" s="26" t="s">
        <v>1358</v>
      </c>
      <c r="HA271" s="5" t="s">
        <v>1069</v>
      </c>
      <c r="HB271" s="4">
        <v>32.65</v>
      </c>
      <c r="HC271">
        <v>0</v>
      </c>
      <c r="HD271">
        <v>30</v>
      </c>
      <c r="HE271" s="26" t="s">
        <v>1358</v>
      </c>
      <c r="HF271" s="5" t="s">
        <v>1063</v>
      </c>
      <c r="HG271" s="4">
        <v>1.1499999999999999</v>
      </c>
      <c r="HH271">
        <v>0</v>
      </c>
      <c r="HI271">
        <v>30</v>
      </c>
      <c r="HJ271" s="26" t="s">
        <v>1358</v>
      </c>
      <c r="HK271" t="s">
        <v>815</v>
      </c>
      <c r="HL271">
        <v>1.32</v>
      </c>
      <c r="HM271">
        <v>0</v>
      </c>
      <c r="HN271">
        <v>30</v>
      </c>
      <c r="HO271" t="s">
        <v>1</v>
      </c>
      <c r="HP271" s="26" t="s">
        <v>1358</v>
      </c>
      <c r="HZ271" t="s">
        <v>969</v>
      </c>
      <c r="IA271">
        <v>150</v>
      </c>
      <c r="IB271" s="10" t="s">
        <v>1</v>
      </c>
      <c r="IC271" s="10"/>
      <c r="ID271" s="10"/>
      <c r="IE271" s="10" t="s">
        <v>1</v>
      </c>
      <c r="IF271" s="10" t="s">
        <v>1</v>
      </c>
      <c r="IG271" s="10"/>
      <c r="IH271" s="10"/>
      <c r="II271" s="10"/>
      <c r="IJ271" s="10"/>
      <c r="IK271" s="10"/>
      <c r="IL271" s="10"/>
      <c r="IM271" s="10"/>
      <c r="IN271" s="10"/>
      <c r="IO271" s="10"/>
      <c r="IP271" s="10"/>
      <c r="IQ271" s="10"/>
      <c r="IR271" s="10"/>
      <c r="IS271" t="s">
        <v>1</v>
      </c>
      <c r="IT271" t="s">
        <v>1</v>
      </c>
      <c r="IW271" t="s">
        <v>1</v>
      </c>
      <c r="IX271" t="s">
        <v>1</v>
      </c>
      <c r="IY271" t="s">
        <v>808</v>
      </c>
      <c r="IZ271">
        <v>3385</v>
      </c>
      <c r="JA271" t="s">
        <v>1</v>
      </c>
      <c r="JB271" s="3" t="s">
        <v>1</v>
      </c>
      <c r="JC271" t="s">
        <v>1</v>
      </c>
      <c r="JD271" s="4" t="s">
        <v>1</v>
      </c>
      <c r="JE271" t="s">
        <v>810</v>
      </c>
      <c r="JF271">
        <v>100</v>
      </c>
      <c r="JR271" t="s">
        <v>1066</v>
      </c>
      <c r="JS271">
        <v>41.2</v>
      </c>
      <c r="JU271" t="s">
        <v>1</v>
      </c>
      <c r="JW271" t="s">
        <v>1</v>
      </c>
      <c r="JX271">
        <v>0</v>
      </c>
      <c r="JY271">
        <v>60</v>
      </c>
      <c r="JZ271" t="s">
        <v>800</v>
      </c>
      <c r="KA271" t="s">
        <v>286</v>
      </c>
      <c r="KB271" t="s">
        <v>738</v>
      </c>
      <c r="KC271" t="s">
        <v>1</v>
      </c>
      <c r="KD271" t="s">
        <v>1</v>
      </c>
      <c r="KE271" s="1" t="s">
        <v>1</v>
      </c>
      <c r="KF271" t="s">
        <v>1</v>
      </c>
      <c r="KG271" t="s">
        <v>1</v>
      </c>
      <c r="KH271" t="s">
        <v>1</v>
      </c>
      <c r="KI271" t="s">
        <v>1</v>
      </c>
      <c r="KJ271" t="s">
        <v>1</v>
      </c>
      <c r="KK271" t="s">
        <v>1</v>
      </c>
    </row>
    <row r="272" spans="1:297" x14ac:dyDescent="0.2">
      <c r="A272">
        <v>240</v>
      </c>
      <c r="B272" t="s">
        <v>705</v>
      </c>
      <c r="C272" t="s">
        <v>263</v>
      </c>
      <c r="D272" t="s">
        <v>285</v>
      </c>
      <c r="E272">
        <v>41</v>
      </c>
      <c r="F272" t="s">
        <v>701</v>
      </c>
      <c r="G272" t="s">
        <v>1</v>
      </c>
      <c r="H272" s="26" t="s">
        <v>1420</v>
      </c>
      <c r="I272" t="s">
        <v>1</v>
      </c>
      <c r="J272" t="s">
        <v>1</v>
      </c>
      <c r="K272" t="s">
        <v>1</v>
      </c>
      <c r="L272" t="s">
        <v>1</v>
      </c>
      <c r="M272" t="s">
        <v>1</v>
      </c>
      <c r="N272" t="s">
        <v>1</v>
      </c>
      <c r="O272" t="s">
        <v>1</v>
      </c>
      <c r="P272" t="s">
        <v>1</v>
      </c>
      <c r="Q272" t="s">
        <v>1</v>
      </c>
      <c r="R272" t="s">
        <v>1</v>
      </c>
      <c r="S272" t="s">
        <v>1</v>
      </c>
      <c r="T272" t="s">
        <v>1</v>
      </c>
      <c r="U272" t="s">
        <v>1</v>
      </c>
      <c r="V272" t="s">
        <v>1</v>
      </c>
      <c r="W272" t="s">
        <v>1</v>
      </c>
      <c r="X272" t="s">
        <v>1</v>
      </c>
      <c r="Y272" t="s">
        <v>1</v>
      </c>
      <c r="Z272" t="s">
        <v>1</v>
      </c>
      <c r="AA272" t="s">
        <v>1</v>
      </c>
      <c r="AB272" t="s">
        <v>1</v>
      </c>
      <c r="AC272" t="s">
        <v>1</v>
      </c>
      <c r="AD272" t="s">
        <v>1</v>
      </c>
      <c r="AE272" t="s">
        <v>1</v>
      </c>
      <c r="AF272" t="s">
        <v>1</v>
      </c>
      <c r="AG272" t="s">
        <v>1</v>
      </c>
      <c r="AH272" t="s">
        <v>1</v>
      </c>
      <c r="AI272" t="s">
        <v>1</v>
      </c>
      <c r="AJ272" t="s">
        <v>1</v>
      </c>
      <c r="AK272" t="s">
        <v>1</v>
      </c>
      <c r="AL272" t="s">
        <v>1</v>
      </c>
      <c r="AM272" t="s">
        <v>1</v>
      </c>
      <c r="AN272">
        <v>240</v>
      </c>
      <c r="AO272">
        <f t="shared" si="36"/>
        <v>240</v>
      </c>
      <c r="AP272">
        <f t="shared" si="40"/>
        <v>41</v>
      </c>
      <c r="AQ272">
        <f t="shared" si="41"/>
        <v>41</v>
      </c>
      <c r="AR272" s="26" t="s">
        <v>1355</v>
      </c>
      <c r="AS272" s="26" t="s">
        <v>1356</v>
      </c>
      <c r="AT272" t="s">
        <v>721</v>
      </c>
      <c r="AU272" t="s">
        <v>1</v>
      </c>
      <c r="AV272" t="s">
        <v>1</v>
      </c>
      <c r="AW272">
        <v>14.07</v>
      </c>
      <c r="AX272">
        <v>100.62</v>
      </c>
      <c r="AY272" t="s">
        <v>737</v>
      </c>
      <c r="BA272" s="3">
        <v>3</v>
      </c>
      <c r="BB272" s="3"/>
      <c r="BC272" s="3"/>
      <c r="BD272" s="3"/>
      <c r="BE272" s="3"/>
      <c r="BF272">
        <v>1999</v>
      </c>
      <c r="BG272" s="24" t="s">
        <v>733</v>
      </c>
      <c r="BH272" s="24" t="s">
        <v>733</v>
      </c>
      <c r="BI272" s="24" t="s">
        <v>733</v>
      </c>
      <c r="BJ272" s="24" t="s">
        <v>732</v>
      </c>
      <c r="BK272" s="24" t="s">
        <v>733</v>
      </c>
      <c r="BL272" s="25" t="s">
        <v>733</v>
      </c>
      <c r="BM272" s="24" t="s">
        <v>733</v>
      </c>
      <c r="BN272" s="24" t="s">
        <v>732</v>
      </c>
      <c r="BO272" s="24" t="s">
        <v>733</v>
      </c>
      <c r="BP272" s="24" t="s">
        <v>733</v>
      </c>
      <c r="BQ272" s="24" t="s">
        <v>945</v>
      </c>
      <c r="BR272" s="24" t="s">
        <v>945</v>
      </c>
      <c r="BS272" s="25" t="s">
        <v>934</v>
      </c>
      <c r="BT272" s="24" t="s">
        <v>934</v>
      </c>
      <c r="BU272" s="24" t="s">
        <v>934</v>
      </c>
      <c r="BV272" s="24" t="s">
        <v>934</v>
      </c>
      <c r="BW272" s="24" t="s">
        <v>934</v>
      </c>
      <c r="BX272" s="24" t="s">
        <v>934</v>
      </c>
      <c r="BY272" s="25" t="s">
        <v>945</v>
      </c>
      <c r="BZ272" s="36" t="s">
        <v>1412</v>
      </c>
      <c r="CB272" t="s">
        <v>1</v>
      </c>
      <c r="CC272" s="4">
        <f>AVERAGE(3520,5310)</f>
        <v>4415</v>
      </c>
      <c r="CD272" s="4"/>
      <c r="CE272" s="4"/>
      <c r="CF272" t="s">
        <v>793</v>
      </c>
      <c r="CG272">
        <v>100</v>
      </c>
      <c r="CH272" t="s">
        <v>805</v>
      </c>
      <c r="CI272" s="1">
        <v>0.6</v>
      </c>
      <c r="CJ272" s="9" t="s">
        <v>1</v>
      </c>
      <c r="CK272" t="s">
        <v>807</v>
      </c>
      <c r="CL272" s="4">
        <f>(AVERAGE(7950,16080)-4415/0.87)*35%</f>
        <v>2429.1005747126437</v>
      </c>
      <c r="CM272" t="s">
        <v>847</v>
      </c>
      <c r="CN272" s="4">
        <f>AVERAGE(110.3,170.8)</f>
        <v>140.55000000000001</v>
      </c>
      <c r="CO272" s="4" t="s">
        <v>1</v>
      </c>
      <c r="CP272" s="4" t="s">
        <v>1</v>
      </c>
      <c r="CQ272" s="4" t="s">
        <v>1</v>
      </c>
      <c r="CR272" s="4" t="s">
        <v>1</v>
      </c>
      <c r="CS272" s="4" t="s">
        <v>1</v>
      </c>
      <c r="CT272" s="4" t="s">
        <v>1</v>
      </c>
      <c r="CU272" s="4" t="s">
        <v>1</v>
      </c>
      <c r="CV272" s="37" t="s">
        <v>849</v>
      </c>
      <c r="CW272">
        <v>100</v>
      </c>
      <c r="CX272">
        <v>0</v>
      </c>
      <c r="CY272">
        <v>30</v>
      </c>
      <c r="CZ272" s="26" t="s">
        <v>1358</v>
      </c>
      <c r="DA272" t="s">
        <v>734</v>
      </c>
      <c r="DB272">
        <v>12.8</v>
      </c>
      <c r="DC272">
        <v>0</v>
      </c>
      <c r="DD272">
        <v>30</v>
      </c>
      <c r="DE272" s="26" t="s">
        <v>1358</v>
      </c>
      <c r="DF272" t="s">
        <v>735</v>
      </c>
      <c r="DG272">
        <v>25.8</v>
      </c>
      <c r="DH272">
        <v>0</v>
      </c>
      <c r="DI272">
        <v>30</v>
      </c>
      <c r="DJ272" s="26" t="s">
        <v>1358</v>
      </c>
      <c r="DK272" t="s">
        <v>736</v>
      </c>
      <c r="DL272">
        <v>61.5</v>
      </c>
      <c r="DM272">
        <v>0</v>
      </c>
      <c r="DN272">
        <v>30</v>
      </c>
      <c r="DO272" s="26" t="s">
        <v>1358</v>
      </c>
      <c r="DP272" t="s">
        <v>6</v>
      </c>
      <c r="DQ272" t="s">
        <v>1</v>
      </c>
      <c r="DR272">
        <v>5.6</v>
      </c>
      <c r="DS272">
        <v>0</v>
      </c>
      <c r="DT272">
        <v>30</v>
      </c>
      <c r="DU272" s="26" t="s">
        <v>1358</v>
      </c>
      <c r="EA272" t="s">
        <v>982</v>
      </c>
      <c r="EB272">
        <v>44.699999999999996</v>
      </c>
      <c r="EC272">
        <v>0</v>
      </c>
      <c r="ED272">
        <v>30</v>
      </c>
      <c r="EE272" s="26" t="s">
        <v>1358</v>
      </c>
      <c r="EF272" s="26"/>
      <c r="FZ272" t="s">
        <v>806</v>
      </c>
      <c r="GA272">
        <v>394.5</v>
      </c>
      <c r="GE272" s="26" t="s">
        <v>1358</v>
      </c>
      <c r="HA272" s="5" t="s">
        <v>1069</v>
      </c>
      <c r="HB272" s="4">
        <v>32.65</v>
      </c>
      <c r="HC272">
        <v>0</v>
      </c>
      <c r="HD272">
        <v>30</v>
      </c>
      <c r="HE272" s="26" t="s">
        <v>1358</v>
      </c>
      <c r="HF272" s="5" t="s">
        <v>1063</v>
      </c>
      <c r="HG272" s="4">
        <v>1.1499999999999999</v>
      </c>
      <c r="HH272">
        <v>0</v>
      </c>
      <c r="HI272">
        <v>30</v>
      </c>
      <c r="HJ272" s="26" t="s">
        <v>1358</v>
      </c>
      <c r="HK272" t="s">
        <v>815</v>
      </c>
      <c r="HL272">
        <v>1.32</v>
      </c>
      <c r="HM272">
        <v>0</v>
      </c>
      <c r="HN272">
        <v>30</v>
      </c>
      <c r="HO272" t="s">
        <v>1</v>
      </c>
      <c r="HP272" s="26" t="s">
        <v>1358</v>
      </c>
      <c r="HZ272" t="s">
        <v>969</v>
      </c>
      <c r="IA272">
        <v>200</v>
      </c>
      <c r="IB272" s="10" t="s">
        <v>1</v>
      </c>
      <c r="IC272" s="10"/>
      <c r="ID272" s="10"/>
      <c r="IE272" s="10" t="s">
        <v>1</v>
      </c>
      <c r="IF272" s="10" t="s">
        <v>1</v>
      </c>
      <c r="IG272" s="10"/>
      <c r="IH272" s="10"/>
      <c r="II272" s="10"/>
      <c r="IJ272" s="10"/>
      <c r="IK272" s="10"/>
      <c r="IL272" s="10"/>
      <c r="IM272" s="10"/>
      <c r="IN272" s="10"/>
      <c r="IO272" s="10"/>
      <c r="IP272" s="10"/>
      <c r="IQ272" s="10"/>
      <c r="IR272" s="10"/>
      <c r="IS272" t="s">
        <v>1</v>
      </c>
      <c r="IT272" t="s">
        <v>1</v>
      </c>
      <c r="IW272" t="s">
        <v>1</v>
      </c>
      <c r="IX272" t="s">
        <v>1</v>
      </c>
      <c r="IY272" t="s">
        <v>808</v>
      </c>
      <c r="IZ272">
        <v>3385</v>
      </c>
      <c r="JA272" t="s">
        <v>1</v>
      </c>
      <c r="JB272" s="3" t="s">
        <v>1</v>
      </c>
      <c r="JC272" t="s">
        <v>1</v>
      </c>
      <c r="JD272" s="4" t="s">
        <v>1</v>
      </c>
      <c r="JE272" t="s">
        <v>810</v>
      </c>
      <c r="JF272">
        <v>100</v>
      </c>
      <c r="JR272" t="s">
        <v>1066</v>
      </c>
      <c r="JS272">
        <v>62.6</v>
      </c>
      <c r="JU272" t="s">
        <v>1</v>
      </c>
      <c r="JW272" t="s">
        <v>1</v>
      </c>
      <c r="JX272">
        <v>0</v>
      </c>
      <c r="JY272">
        <v>60</v>
      </c>
      <c r="JZ272" t="s">
        <v>800</v>
      </c>
      <c r="KA272" t="s">
        <v>286</v>
      </c>
      <c r="KB272" t="s">
        <v>738</v>
      </c>
      <c r="KC272" t="s">
        <v>1</v>
      </c>
      <c r="KD272" t="s">
        <v>1</v>
      </c>
      <c r="KE272" s="1" t="s">
        <v>1</v>
      </c>
      <c r="KF272" t="s">
        <v>1</v>
      </c>
      <c r="KG272" t="s">
        <v>1</v>
      </c>
      <c r="KH272" t="s">
        <v>1</v>
      </c>
      <c r="KI272" t="s">
        <v>1</v>
      </c>
      <c r="KJ272" t="s">
        <v>1</v>
      </c>
      <c r="KK272" t="s">
        <v>1</v>
      </c>
    </row>
    <row r="273" spans="1:297" x14ac:dyDescent="0.2">
      <c r="A273">
        <v>241</v>
      </c>
      <c r="B273" t="s">
        <v>705</v>
      </c>
      <c r="C273" t="s">
        <v>290</v>
      </c>
      <c r="D273" t="s">
        <v>288</v>
      </c>
      <c r="E273">
        <v>42</v>
      </c>
      <c r="F273" t="s">
        <v>289</v>
      </c>
      <c r="G273" t="s">
        <v>1</v>
      </c>
      <c r="H273" s="26" t="s">
        <v>1420</v>
      </c>
      <c r="I273" t="s">
        <v>1</v>
      </c>
      <c r="J273" t="s">
        <v>1</v>
      </c>
      <c r="K273" t="s">
        <v>1</v>
      </c>
      <c r="L273" t="s">
        <v>1</v>
      </c>
      <c r="M273" t="s">
        <v>1</v>
      </c>
      <c r="N273" t="s">
        <v>1</v>
      </c>
      <c r="O273" t="s">
        <v>1</v>
      </c>
      <c r="P273" t="s">
        <v>1</v>
      </c>
      <c r="Q273" t="s">
        <v>1</v>
      </c>
      <c r="R273" t="s">
        <v>1</v>
      </c>
      <c r="S273" t="s">
        <v>1</v>
      </c>
      <c r="T273" t="s">
        <v>1</v>
      </c>
      <c r="U273" t="s">
        <v>1</v>
      </c>
      <c r="V273" t="s">
        <v>1</v>
      </c>
      <c r="W273" t="s">
        <v>1</v>
      </c>
      <c r="X273" t="s">
        <v>1</v>
      </c>
      <c r="Y273" t="s">
        <v>1</v>
      </c>
      <c r="Z273" t="s">
        <v>1</v>
      </c>
      <c r="AA273" t="s">
        <v>1</v>
      </c>
      <c r="AB273" t="s">
        <v>1</v>
      </c>
      <c r="AC273" t="s">
        <v>1</v>
      </c>
      <c r="AD273" t="s">
        <v>1</v>
      </c>
      <c r="AE273" t="s">
        <v>1</v>
      </c>
      <c r="AF273" t="s">
        <v>1</v>
      </c>
      <c r="AG273" t="s">
        <v>1</v>
      </c>
      <c r="AH273" t="s">
        <v>1</v>
      </c>
      <c r="AI273" t="s">
        <v>1</v>
      </c>
      <c r="AJ273" t="s">
        <v>1</v>
      </c>
      <c r="AK273" t="s">
        <v>1</v>
      </c>
      <c r="AL273" t="s">
        <v>1</v>
      </c>
      <c r="AM273" t="s">
        <v>1</v>
      </c>
      <c r="AN273">
        <v>241</v>
      </c>
      <c r="AO273">
        <f t="shared" si="36"/>
        <v>241</v>
      </c>
      <c r="AP273">
        <f t="shared" si="40"/>
        <v>42</v>
      </c>
      <c r="AQ273">
        <f t="shared" si="41"/>
        <v>42</v>
      </c>
      <c r="AR273" s="26" t="s">
        <v>1355</v>
      </c>
      <c r="AS273" s="26" t="s">
        <v>1356</v>
      </c>
      <c r="AT273" t="s">
        <v>722</v>
      </c>
      <c r="AU273" t="s">
        <v>1</v>
      </c>
      <c r="AV273" t="s">
        <v>1</v>
      </c>
      <c r="AW273">
        <v>-11.77</v>
      </c>
      <c r="AX273">
        <v>-45.72</v>
      </c>
      <c r="AY273" t="s">
        <v>737</v>
      </c>
      <c r="BA273" s="3">
        <v>4</v>
      </c>
      <c r="BB273" s="3"/>
      <c r="BC273" s="3"/>
      <c r="BD273" s="3"/>
      <c r="BE273" s="3"/>
      <c r="BF273">
        <v>2009</v>
      </c>
      <c r="BG273" s="24" t="s">
        <v>732</v>
      </c>
      <c r="BH273" s="24" t="s">
        <v>733</v>
      </c>
      <c r="BI273" s="24" t="s">
        <v>733</v>
      </c>
      <c r="BJ273" s="24" t="s">
        <v>732</v>
      </c>
      <c r="BK273" s="24" t="s">
        <v>733</v>
      </c>
      <c r="BL273" s="25" t="s">
        <v>733</v>
      </c>
      <c r="BM273" s="24" t="s">
        <v>733</v>
      </c>
      <c r="BN273" s="24" t="s">
        <v>732</v>
      </c>
      <c r="BO273" s="24" t="s">
        <v>733</v>
      </c>
      <c r="BP273" s="24" t="s">
        <v>733</v>
      </c>
      <c r="BQ273" s="24" t="s">
        <v>945</v>
      </c>
      <c r="BR273" s="24" t="s">
        <v>945</v>
      </c>
      <c r="BS273" s="25" t="s">
        <v>934</v>
      </c>
      <c r="BT273" s="24" t="s">
        <v>934</v>
      </c>
      <c r="BU273" s="24" t="s">
        <v>934</v>
      </c>
      <c r="BV273" s="24" t="s">
        <v>934</v>
      </c>
      <c r="BW273" s="24" t="s">
        <v>934</v>
      </c>
      <c r="BX273" s="24" t="s">
        <v>934</v>
      </c>
      <c r="BY273" s="25" t="s">
        <v>945</v>
      </c>
      <c r="BZ273" t="s">
        <v>1417</v>
      </c>
      <c r="CB273" t="s">
        <v>1</v>
      </c>
      <c r="CC273" s="4">
        <f>4347*88%</f>
        <v>3825.36</v>
      </c>
      <c r="CD273" s="4"/>
      <c r="CE273" s="4"/>
      <c r="CF273" t="s">
        <v>793</v>
      </c>
      <c r="CG273">
        <v>100</v>
      </c>
      <c r="CH273" t="s">
        <v>805</v>
      </c>
      <c r="CI273" s="6">
        <v>0.6</v>
      </c>
      <c r="CJ273" s="10" t="s">
        <v>1446</v>
      </c>
      <c r="CK273" s="9" t="s">
        <v>1</v>
      </c>
      <c r="CL273" s="4" t="s">
        <v>1</v>
      </c>
      <c r="CM273" t="s">
        <v>847</v>
      </c>
      <c r="CN273" s="4">
        <f>205+153+107+82</f>
        <v>547</v>
      </c>
      <c r="CO273" s="4" t="s">
        <v>1</v>
      </c>
      <c r="CP273" s="4" t="s">
        <v>1</v>
      </c>
      <c r="CQ273" s="4" t="s">
        <v>1</v>
      </c>
      <c r="CR273" s="4" t="s">
        <v>1</v>
      </c>
      <c r="CS273" s="4" t="s">
        <v>1</v>
      </c>
      <c r="CT273" s="4" t="s">
        <v>1</v>
      </c>
      <c r="CU273" s="4" t="s">
        <v>1</v>
      </c>
      <c r="CV273" t="s">
        <v>855</v>
      </c>
      <c r="CW273">
        <v>100</v>
      </c>
      <c r="CX273">
        <v>0</v>
      </c>
      <c r="CY273">
        <v>30</v>
      </c>
      <c r="CZ273" t="s">
        <v>1438</v>
      </c>
      <c r="DA273" t="s">
        <v>734</v>
      </c>
      <c r="DB273">
        <v>80.3</v>
      </c>
      <c r="DC273">
        <v>0</v>
      </c>
      <c r="DD273">
        <v>30</v>
      </c>
      <c r="DE273" t="s">
        <v>1358</v>
      </c>
      <c r="DF273" t="s">
        <v>735</v>
      </c>
      <c r="DG273">
        <v>3</v>
      </c>
      <c r="DH273">
        <v>0</v>
      </c>
      <c r="DI273">
        <v>30</v>
      </c>
      <c r="DJ273" t="s">
        <v>1358</v>
      </c>
      <c r="DK273" t="s">
        <v>736</v>
      </c>
      <c r="DL273">
        <v>16.7</v>
      </c>
      <c r="DM273">
        <v>0</v>
      </c>
      <c r="DN273">
        <v>30</v>
      </c>
      <c r="DO273" t="s">
        <v>1358</v>
      </c>
      <c r="DP273" t="s">
        <v>6</v>
      </c>
      <c r="DQ273" t="s">
        <v>812</v>
      </c>
      <c r="DR273">
        <v>4.3</v>
      </c>
      <c r="DS273">
        <v>0</v>
      </c>
      <c r="DT273">
        <v>30</v>
      </c>
      <c r="DU273" s="26" t="s">
        <v>1358</v>
      </c>
      <c r="EA273" t="s">
        <v>1</v>
      </c>
      <c r="EB273" t="s">
        <v>1</v>
      </c>
      <c r="EC273" t="s">
        <v>1</v>
      </c>
      <c r="ED273" t="s">
        <v>1</v>
      </c>
      <c r="EE273" t="s">
        <v>1</v>
      </c>
      <c r="FZ273" t="s">
        <v>806</v>
      </c>
      <c r="GA273">
        <v>1535</v>
      </c>
      <c r="GE273" s="26" t="s">
        <v>1358</v>
      </c>
      <c r="HA273" s="5" t="s">
        <v>1</v>
      </c>
      <c r="HB273" s="4" t="s">
        <v>1</v>
      </c>
      <c r="HC273" t="s">
        <v>1</v>
      </c>
      <c r="HD273" t="s">
        <v>1</v>
      </c>
      <c r="HE273" t="s">
        <v>1</v>
      </c>
      <c r="HF273" s="5" t="s">
        <v>1063</v>
      </c>
      <c r="HG273" s="4">
        <v>0.72000000000000008</v>
      </c>
      <c r="HH273">
        <v>0</v>
      </c>
      <c r="HI273">
        <v>30</v>
      </c>
      <c r="HJ273" s="26" t="s">
        <v>1358</v>
      </c>
      <c r="HK273" t="s">
        <v>1</v>
      </c>
      <c r="HL273" t="s">
        <v>1</v>
      </c>
      <c r="HM273" t="s">
        <v>1</v>
      </c>
      <c r="HN273" t="s">
        <v>1</v>
      </c>
      <c r="HO273" t="s">
        <v>1</v>
      </c>
      <c r="HP273" t="s">
        <v>1</v>
      </c>
      <c r="HZ273" t="s">
        <v>1295</v>
      </c>
      <c r="IA273">
        <v>400</v>
      </c>
      <c r="IB273" s="10" t="s">
        <v>1</v>
      </c>
      <c r="IC273" s="10"/>
      <c r="ID273" s="10"/>
      <c r="IE273" s="10" t="s">
        <v>1</v>
      </c>
      <c r="IF273" s="10" t="s">
        <v>1</v>
      </c>
      <c r="IG273" s="10" t="s">
        <v>1</v>
      </c>
      <c r="IH273" s="10" t="s">
        <v>1</v>
      </c>
      <c r="II273" s="10" t="s">
        <v>1</v>
      </c>
      <c r="IJ273" s="10" t="s">
        <v>1</v>
      </c>
      <c r="IK273" s="10" t="s">
        <v>1</v>
      </c>
      <c r="IL273" s="10" t="s">
        <v>1</v>
      </c>
      <c r="IM273" s="10" t="s">
        <v>1</v>
      </c>
      <c r="IN273" s="10" t="s">
        <v>1</v>
      </c>
      <c r="IO273" s="10" t="s">
        <v>1</v>
      </c>
      <c r="IP273" s="10" t="s">
        <v>1</v>
      </c>
      <c r="IQ273" s="10" t="s">
        <v>1</v>
      </c>
      <c r="IR273" s="10" t="s">
        <v>1</v>
      </c>
      <c r="IS273" t="s">
        <v>1</v>
      </c>
      <c r="IT273" t="s">
        <v>1</v>
      </c>
      <c r="IW273" t="s">
        <v>1</v>
      </c>
      <c r="IX273" t="s">
        <v>1</v>
      </c>
      <c r="IY273" t="s">
        <v>808</v>
      </c>
      <c r="IZ273">
        <v>6973</v>
      </c>
      <c r="JA273" t="s">
        <v>1</v>
      </c>
      <c r="JB273" s="3" t="s">
        <v>1</v>
      </c>
      <c r="JC273" t="s">
        <v>1</v>
      </c>
      <c r="JD273" s="4" t="s">
        <v>1</v>
      </c>
      <c r="JE273" t="s">
        <v>1</v>
      </c>
      <c r="JF273" t="s">
        <v>1</v>
      </c>
      <c r="JR273" t="s">
        <v>1066</v>
      </c>
      <c r="JS273">
        <v>107.1</v>
      </c>
      <c r="JU273" t="s">
        <v>1</v>
      </c>
      <c r="JW273" t="s">
        <v>1</v>
      </c>
      <c r="JX273">
        <v>0</v>
      </c>
      <c r="JY273">
        <v>100</v>
      </c>
      <c r="JZ273" t="s">
        <v>800</v>
      </c>
      <c r="KA273" t="s">
        <v>291</v>
      </c>
      <c r="KB273" t="s">
        <v>738</v>
      </c>
      <c r="KC273" t="s">
        <v>1</v>
      </c>
      <c r="KD273" t="s">
        <v>1</v>
      </c>
      <c r="KE273" s="1" t="s">
        <v>1</v>
      </c>
      <c r="KF273" t="s">
        <v>1</v>
      </c>
      <c r="KG273" t="s">
        <v>1</v>
      </c>
      <c r="KH273" t="s">
        <v>1</v>
      </c>
      <c r="KI273" t="s">
        <v>1</v>
      </c>
      <c r="KJ273" t="s">
        <v>1</v>
      </c>
      <c r="KK273" t="s">
        <v>1</v>
      </c>
    </row>
    <row r="274" spans="1:297" x14ac:dyDescent="0.2">
      <c r="A274">
        <v>242</v>
      </c>
      <c r="B274" t="s">
        <v>705</v>
      </c>
      <c r="C274" t="s">
        <v>292</v>
      </c>
      <c r="D274" t="s">
        <v>288</v>
      </c>
      <c r="E274">
        <v>42</v>
      </c>
      <c r="F274" t="s">
        <v>289</v>
      </c>
      <c r="G274" t="s">
        <v>1</v>
      </c>
      <c r="H274" s="26" t="s">
        <v>1420</v>
      </c>
      <c r="I274" t="s">
        <v>1</v>
      </c>
      <c r="J274" t="s">
        <v>1</v>
      </c>
      <c r="K274" t="s">
        <v>1</v>
      </c>
      <c r="L274" t="s">
        <v>1</v>
      </c>
      <c r="M274" t="s">
        <v>1</v>
      </c>
      <c r="N274" t="s">
        <v>1</v>
      </c>
      <c r="O274" t="s">
        <v>1</v>
      </c>
      <c r="P274" t="s">
        <v>1</v>
      </c>
      <c r="Q274" t="s">
        <v>1</v>
      </c>
      <c r="R274" t="s">
        <v>1</v>
      </c>
      <c r="S274" t="s">
        <v>1</v>
      </c>
      <c r="T274" t="s">
        <v>1</v>
      </c>
      <c r="U274" t="s">
        <v>1</v>
      </c>
      <c r="V274" t="s">
        <v>1</v>
      </c>
      <c r="W274" t="s">
        <v>1</v>
      </c>
      <c r="X274" t="s">
        <v>1</v>
      </c>
      <c r="Y274" t="s">
        <v>1</v>
      </c>
      <c r="Z274" t="s">
        <v>1</v>
      </c>
      <c r="AA274" t="s">
        <v>1</v>
      </c>
      <c r="AB274" t="s">
        <v>1</v>
      </c>
      <c r="AC274" t="s">
        <v>1</v>
      </c>
      <c r="AD274" t="s">
        <v>1</v>
      </c>
      <c r="AE274" t="s">
        <v>1</v>
      </c>
      <c r="AF274" t="s">
        <v>1</v>
      </c>
      <c r="AG274" t="s">
        <v>1</v>
      </c>
      <c r="AH274" t="s">
        <v>1</v>
      </c>
      <c r="AI274" t="s">
        <v>1</v>
      </c>
      <c r="AJ274" t="s">
        <v>1</v>
      </c>
      <c r="AK274" t="s">
        <v>1</v>
      </c>
      <c r="AL274" t="s">
        <v>1</v>
      </c>
      <c r="AM274" t="s">
        <v>1</v>
      </c>
      <c r="AN274">
        <v>242</v>
      </c>
      <c r="AO274">
        <f t="shared" si="36"/>
        <v>242</v>
      </c>
      <c r="AP274">
        <f t="shared" si="40"/>
        <v>42</v>
      </c>
      <c r="AQ274">
        <f t="shared" si="41"/>
        <v>42</v>
      </c>
      <c r="AR274" s="26" t="s">
        <v>1355</v>
      </c>
      <c r="AS274" s="26" t="s">
        <v>1356</v>
      </c>
      <c r="AT274" t="s">
        <v>722</v>
      </c>
      <c r="AU274" t="s">
        <v>1</v>
      </c>
      <c r="AV274" t="s">
        <v>1</v>
      </c>
      <c r="AW274">
        <v>-11.77</v>
      </c>
      <c r="AX274">
        <v>-45.72</v>
      </c>
      <c r="AY274" t="s">
        <v>737</v>
      </c>
      <c r="BA274" s="3">
        <v>4</v>
      </c>
      <c r="BB274" s="3"/>
      <c r="BC274" s="3"/>
      <c r="BD274" s="3"/>
      <c r="BE274" s="3"/>
      <c r="BF274">
        <v>2009</v>
      </c>
      <c r="BG274" s="24" t="s">
        <v>732</v>
      </c>
      <c r="BH274" s="24" t="s">
        <v>733</v>
      </c>
      <c r="BI274" s="24" t="s">
        <v>733</v>
      </c>
      <c r="BJ274" s="24" t="s">
        <v>732</v>
      </c>
      <c r="BK274" s="24" t="s">
        <v>733</v>
      </c>
      <c r="BL274" s="25" t="s">
        <v>733</v>
      </c>
      <c r="BM274" s="24" t="s">
        <v>733</v>
      </c>
      <c r="BN274" s="24" t="s">
        <v>732</v>
      </c>
      <c r="BO274" s="24" t="s">
        <v>733</v>
      </c>
      <c r="BP274" s="24" t="s">
        <v>733</v>
      </c>
      <c r="BQ274" s="24" t="s">
        <v>945</v>
      </c>
      <c r="BR274" s="24" t="s">
        <v>945</v>
      </c>
      <c r="BS274" s="25" t="s">
        <v>934</v>
      </c>
      <c r="BT274" s="24" t="s">
        <v>934</v>
      </c>
      <c r="BU274" s="24" t="s">
        <v>934</v>
      </c>
      <c r="BV274" s="24" t="s">
        <v>934</v>
      </c>
      <c r="BW274" s="24" t="s">
        <v>934</v>
      </c>
      <c r="BX274" s="24" t="s">
        <v>934</v>
      </c>
      <c r="BY274" s="25" t="s">
        <v>945</v>
      </c>
      <c r="BZ274" t="s">
        <v>1417</v>
      </c>
      <c r="CB274" t="s">
        <v>1</v>
      </c>
      <c r="CC274" s="4">
        <f>3390*88%</f>
        <v>2983.2</v>
      </c>
      <c r="CD274" s="4"/>
      <c r="CE274" s="4"/>
      <c r="CF274" t="s">
        <v>793</v>
      </c>
      <c r="CG274">
        <v>100</v>
      </c>
      <c r="CH274" t="s">
        <v>805</v>
      </c>
      <c r="CI274" s="6">
        <v>0.6</v>
      </c>
      <c r="CJ274" s="10" t="s">
        <v>1446</v>
      </c>
      <c r="CK274" s="9" t="s">
        <v>1</v>
      </c>
      <c r="CL274" s="4" t="s">
        <v>1</v>
      </c>
      <c r="CM274" t="s">
        <v>847</v>
      </c>
      <c r="CN274" s="4">
        <f>161+195+109+98</f>
        <v>563</v>
      </c>
      <c r="CO274" s="4" t="s">
        <v>1</v>
      </c>
      <c r="CP274" s="4" t="s">
        <v>1</v>
      </c>
      <c r="CQ274" s="4" t="s">
        <v>1</v>
      </c>
      <c r="CR274" s="4" t="s">
        <v>1</v>
      </c>
      <c r="CS274" s="4" t="s">
        <v>1</v>
      </c>
      <c r="CT274" s="4" t="s">
        <v>1</v>
      </c>
      <c r="CU274" s="4" t="s">
        <v>1</v>
      </c>
      <c r="CV274" t="s">
        <v>855</v>
      </c>
      <c r="CW274">
        <v>100</v>
      </c>
      <c r="CX274">
        <v>0</v>
      </c>
      <c r="CY274">
        <v>30</v>
      </c>
      <c r="CZ274" t="s">
        <v>1438</v>
      </c>
      <c r="DA274" t="s">
        <v>734</v>
      </c>
      <c r="DB274">
        <v>80.3</v>
      </c>
      <c r="DC274">
        <v>0</v>
      </c>
      <c r="DD274">
        <v>30</v>
      </c>
      <c r="DE274" t="s">
        <v>1358</v>
      </c>
      <c r="DF274" t="s">
        <v>735</v>
      </c>
      <c r="DG274">
        <v>3</v>
      </c>
      <c r="DH274">
        <v>0</v>
      </c>
      <c r="DI274">
        <v>30</v>
      </c>
      <c r="DJ274" t="s">
        <v>1358</v>
      </c>
      <c r="DK274" t="s">
        <v>736</v>
      </c>
      <c r="DL274">
        <v>16.7</v>
      </c>
      <c r="DM274">
        <v>0</v>
      </c>
      <c r="DN274">
        <v>30</v>
      </c>
      <c r="DO274" t="s">
        <v>1358</v>
      </c>
      <c r="DP274" t="s">
        <v>6</v>
      </c>
      <c r="DQ274" t="s">
        <v>812</v>
      </c>
      <c r="DR274">
        <v>4.3</v>
      </c>
      <c r="DS274">
        <v>0</v>
      </c>
      <c r="DT274">
        <v>30</v>
      </c>
      <c r="DU274" s="26" t="s">
        <v>1358</v>
      </c>
      <c r="EA274" t="s">
        <v>1</v>
      </c>
      <c r="EB274" t="s">
        <v>1</v>
      </c>
      <c r="EC274" t="s">
        <v>1</v>
      </c>
      <c r="ED274" t="s">
        <v>1</v>
      </c>
      <c r="EE274" t="s">
        <v>1</v>
      </c>
      <c r="FZ274" t="s">
        <v>806</v>
      </c>
      <c r="GA274">
        <v>1535</v>
      </c>
      <c r="GE274" s="26" t="s">
        <v>1358</v>
      </c>
      <c r="HA274" s="5" t="s">
        <v>1</v>
      </c>
      <c r="HB274" s="4" t="s">
        <v>1</v>
      </c>
      <c r="HC274" t="s">
        <v>1</v>
      </c>
      <c r="HD274" t="s">
        <v>1</v>
      </c>
      <c r="HE274" t="s">
        <v>1</v>
      </c>
      <c r="HF274" s="5" t="s">
        <v>1063</v>
      </c>
      <c r="HG274" s="4">
        <v>0.72000000000000008</v>
      </c>
      <c r="HH274">
        <v>0</v>
      </c>
      <c r="HI274">
        <v>30</v>
      </c>
      <c r="HJ274" s="26" t="s">
        <v>1358</v>
      </c>
      <c r="HK274" t="s">
        <v>1</v>
      </c>
      <c r="HL274" t="s">
        <v>1</v>
      </c>
      <c r="HM274" t="s">
        <v>1</v>
      </c>
      <c r="HN274" t="s">
        <v>1</v>
      </c>
      <c r="HO274" t="s">
        <v>1</v>
      </c>
      <c r="HP274" t="s">
        <v>1</v>
      </c>
      <c r="HZ274" t="s">
        <v>1295</v>
      </c>
      <c r="IA274">
        <v>800</v>
      </c>
      <c r="IB274" s="10" t="s">
        <v>1</v>
      </c>
      <c r="IC274" s="10"/>
      <c r="ID274" s="10"/>
      <c r="IE274" s="10" t="s">
        <v>1</v>
      </c>
      <c r="IF274" s="10" t="s">
        <v>1</v>
      </c>
      <c r="IG274" s="10" t="s">
        <v>1</v>
      </c>
      <c r="IH274" s="10" t="s">
        <v>1</v>
      </c>
      <c r="II274" s="10" t="s">
        <v>1</v>
      </c>
      <c r="IJ274" s="10" t="s">
        <v>1</v>
      </c>
      <c r="IK274" s="10" t="s">
        <v>1</v>
      </c>
      <c r="IL274" s="10" t="s">
        <v>1</v>
      </c>
      <c r="IM274" s="10" t="s">
        <v>1</v>
      </c>
      <c r="IN274" s="10" t="s">
        <v>1</v>
      </c>
      <c r="IO274" s="10" t="s">
        <v>1</v>
      </c>
      <c r="IP274" s="10" t="s">
        <v>1</v>
      </c>
      <c r="IQ274" s="10" t="s">
        <v>1</v>
      </c>
      <c r="IR274" s="10" t="s">
        <v>1</v>
      </c>
      <c r="IS274" t="s">
        <v>1</v>
      </c>
      <c r="IT274" t="s">
        <v>1</v>
      </c>
      <c r="IW274" t="s">
        <v>1</v>
      </c>
      <c r="IX274" t="s">
        <v>1</v>
      </c>
      <c r="IY274" t="s">
        <v>808</v>
      </c>
      <c r="IZ274">
        <v>6973</v>
      </c>
      <c r="JA274" t="s">
        <v>1</v>
      </c>
      <c r="JB274" s="3" t="s">
        <v>1</v>
      </c>
      <c r="JC274" t="s">
        <v>1</v>
      </c>
      <c r="JD274" s="4" t="s">
        <v>1</v>
      </c>
      <c r="JE274" t="s">
        <v>1</v>
      </c>
      <c r="JF274" t="s">
        <v>1</v>
      </c>
      <c r="JR274" t="s">
        <v>1066</v>
      </c>
      <c r="JS274">
        <v>677.3</v>
      </c>
      <c r="JU274" t="s">
        <v>1</v>
      </c>
      <c r="JW274" t="s">
        <v>1</v>
      </c>
      <c r="JX274">
        <v>0</v>
      </c>
      <c r="JY274">
        <v>100</v>
      </c>
      <c r="JZ274" t="s">
        <v>800</v>
      </c>
      <c r="KA274" t="s">
        <v>291</v>
      </c>
      <c r="KB274" t="s">
        <v>738</v>
      </c>
      <c r="KC274" t="s">
        <v>1</v>
      </c>
      <c r="KD274" t="s">
        <v>1</v>
      </c>
      <c r="KE274" s="1" t="s">
        <v>1</v>
      </c>
      <c r="KF274" t="s">
        <v>1</v>
      </c>
      <c r="KG274" t="s">
        <v>1</v>
      </c>
      <c r="KH274" t="s">
        <v>1</v>
      </c>
      <c r="KI274" t="s">
        <v>1</v>
      </c>
      <c r="KJ274" t="s">
        <v>1</v>
      </c>
      <c r="KK274" t="s">
        <v>1</v>
      </c>
    </row>
    <row r="275" spans="1:297" x14ac:dyDescent="0.2">
      <c r="A275">
        <v>243</v>
      </c>
      <c r="B275" t="s">
        <v>705</v>
      </c>
      <c r="C275" t="s">
        <v>294</v>
      </c>
      <c r="D275" t="s">
        <v>293</v>
      </c>
      <c r="E275">
        <v>43</v>
      </c>
      <c r="F275" t="s">
        <v>1329</v>
      </c>
      <c r="G275" t="s">
        <v>1</v>
      </c>
      <c r="H275" s="26" t="s">
        <v>1420</v>
      </c>
      <c r="I275" t="s">
        <v>1</v>
      </c>
      <c r="J275" t="s">
        <v>1</v>
      </c>
      <c r="K275" t="s">
        <v>1</v>
      </c>
      <c r="L275" t="s">
        <v>1</v>
      </c>
      <c r="M275" t="s">
        <v>1</v>
      </c>
      <c r="N275" t="s">
        <v>1</v>
      </c>
      <c r="O275" t="s">
        <v>1</v>
      </c>
      <c r="P275" t="s">
        <v>1</v>
      </c>
      <c r="Q275" t="s">
        <v>1</v>
      </c>
      <c r="R275" t="s">
        <v>1</v>
      </c>
      <c r="S275" t="s">
        <v>1</v>
      </c>
      <c r="T275" t="s">
        <v>1</v>
      </c>
      <c r="U275" t="s">
        <v>1</v>
      </c>
      <c r="V275" t="s">
        <v>1</v>
      </c>
      <c r="W275" t="s">
        <v>1</v>
      </c>
      <c r="X275" t="s">
        <v>1</v>
      </c>
      <c r="Y275" t="s">
        <v>1</v>
      </c>
      <c r="Z275" t="s">
        <v>1</v>
      </c>
      <c r="AA275" t="s">
        <v>1</v>
      </c>
      <c r="AB275" t="s">
        <v>1</v>
      </c>
      <c r="AC275" t="s">
        <v>1</v>
      </c>
      <c r="AD275" t="s">
        <v>1</v>
      </c>
      <c r="AE275" t="s">
        <v>1</v>
      </c>
      <c r="AF275" t="s">
        <v>1</v>
      </c>
      <c r="AG275" t="s">
        <v>1</v>
      </c>
      <c r="AH275" t="s">
        <v>1</v>
      </c>
      <c r="AI275" t="s">
        <v>1</v>
      </c>
      <c r="AJ275" t="s">
        <v>1</v>
      </c>
      <c r="AK275" t="s">
        <v>1</v>
      </c>
      <c r="AL275" t="s">
        <v>1</v>
      </c>
      <c r="AM275" t="s">
        <v>1</v>
      </c>
      <c r="AN275">
        <v>243</v>
      </c>
      <c r="AO275">
        <f t="shared" si="36"/>
        <v>243</v>
      </c>
      <c r="AP275">
        <f t="shared" si="40"/>
        <v>43</v>
      </c>
      <c r="AQ275">
        <f t="shared" si="41"/>
        <v>43</v>
      </c>
      <c r="AR275" s="26" t="s">
        <v>1355</v>
      </c>
      <c r="AS275" s="26" t="s">
        <v>1356</v>
      </c>
      <c r="AT275" t="s">
        <v>723</v>
      </c>
      <c r="AU275" t="s">
        <v>1</v>
      </c>
      <c r="AV275" t="s">
        <v>1</v>
      </c>
      <c r="AW275">
        <v>35.33</v>
      </c>
      <c r="AX275">
        <v>51.63</v>
      </c>
      <c r="AY275" t="s">
        <v>737</v>
      </c>
      <c r="BA275" s="3">
        <v>3</v>
      </c>
      <c r="BB275" s="3"/>
      <c r="BC275" s="3"/>
      <c r="BD275" s="3"/>
      <c r="BE275" s="3"/>
      <c r="BF275">
        <v>2003</v>
      </c>
      <c r="BG275" s="24" t="s">
        <v>733</v>
      </c>
      <c r="BH275" s="24" t="s">
        <v>733</v>
      </c>
      <c r="BI275" s="24" t="s">
        <v>733</v>
      </c>
      <c r="BJ275" s="24" t="s">
        <v>732</v>
      </c>
      <c r="BK275" s="24" t="s">
        <v>733</v>
      </c>
      <c r="BL275" s="25" t="s">
        <v>733</v>
      </c>
      <c r="BM275" s="24" t="s">
        <v>733</v>
      </c>
      <c r="BN275" s="24" t="s">
        <v>732</v>
      </c>
      <c r="BO275" s="24" t="s">
        <v>733</v>
      </c>
      <c r="BP275" s="24" t="s">
        <v>733</v>
      </c>
      <c r="BQ275" s="24" t="s">
        <v>945</v>
      </c>
      <c r="BR275" s="24" t="s">
        <v>945</v>
      </c>
      <c r="BS275" s="25" t="s">
        <v>934</v>
      </c>
      <c r="BT275" s="24" t="s">
        <v>934</v>
      </c>
      <c r="BU275" s="24" t="s">
        <v>934</v>
      </c>
      <c r="BV275" s="24" t="s">
        <v>934</v>
      </c>
      <c r="BW275" s="24" t="s">
        <v>934</v>
      </c>
      <c r="BX275" s="24" t="s">
        <v>934</v>
      </c>
      <c r="BY275" s="25" t="s">
        <v>945</v>
      </c>
      <c r="BZ275" t="s">
        <v>5</v>
      </c>
      <c r="CB275" t="s">
        <v>1</v>
      </c>
      <c r="CC275" s="4" t="s">
        <v>1</v>
      </c>
      <c r="CD275" s="4"/>
      <c r="CE275" s="4"/>
      <c r="CF275" t="s">
        <v>1</v>
      </c>
      <c r="CG275" t="s">
        <v>1</v>
      </c>
      <c r="CH275" t="s">
        <v>805</v>
      </c>
      <c r="CI275" s="1">
        <v>0.6</v>
      </c>
      <c r="CJ275" s="9" t="s">
        <v>1</v>
      </c>
      <c r="CK275" s="9" t="s">
        <v>1</v>
      </c>
      <c r="CL275" s="4" t="s">
        <v>1</v>
      </c>
      <c r="CM275" t="s">
        <v>847</v>
      </c>
      <c r="CN275" s="4">
        <v>54.7</v>
      </c>
      <c r="CO275" s="4" t="s">
        <v>1</v>
      </c>
      <c r="CP275" s="4" t="s">
        <v>1</v>
      </c>
      <c r="CQ275" s="4" t="s">
        <v>1</v>
      </c>
      <c r="CR275" s="4" t="s">
        <v>1</v>
      </c>
      <c r="CS275" s="4" t="s">
        <v>1</v>
      </c>
      <c r="CT275" s="4" t="s">
        <v>1</v>
      </c>
      <c r="CU275" s="4" t="s">
        <v>1</v>
      </c>
      <c r="CV275" t="s">
        <v>850</v>
      </c>
      <c r="CW275">
        <v>100</v>
      </c>
      <c r="CX275">
        <v>0</v>
      </c>
      <c r="CY275">
        <v>60</v>
      </c>
      <c r="CZ275" s="26" t="s">
        <v>1358</v>
      </c>
      <c r="DA275" t="s">
        <v>734</v>
      </c>
      <c r="DB275">
        <v>23</v>
      </c>
      <c r="DC275">
        <v>0</v>
      </c>
      <c r="DD275">
        <v>60</v>
      </c>
      <c r="DE275" s="26" t="s">
        <v>1358</v>
      </c>
      <c r="DF275" t="s">
        <v>735</v>
      </c>
      <c r="DG275">
        <v>45</v>
      </c>
      <c r="DH275">
        <v>0</v>
      </c>
      <c r="DI275">
        <v>60</v>
      </c>
      <c r="DJ275" s="26" t="s">
        <v>1358</v>
      </c>
      <c r="DK275" t="s">
        <v>736</v>
      </c>
      <c r="DL275">
        <v>32</v>
      </c>
      <c r="DM275">
        <v>0</v>
      </c>
      <c r="DN275">
        <v>60</v>
      </c>
      <c r="DO275" s="26" t="s">
        <v>1358</v>
      </c>
      <c r="DP275" t="s">
        <v>6</v>
      </c>
      <c r="DQ275" t="s">
        <v>1</v>
      </c>
      <c r="DR275">
        <v>7.2</v>
      </c>
      <c r="DS275">
        <v>0</v>
      </c>
      <c r="DT275">
        <v>60</v>
      </c>
      <c r="DU275" s="26" t="s">
        <v>1358</v>
      </c>
      <c r="EA275" t="s">
        <v>982</v>
      </c>
      <c r="EB275">
        <v>6.2</v>
      </c>
      <c r="EC275">
        <v>0</v>
      </c>
      <c r="ED275">
        <v>60</v>
      </c>
      <c r="EE275" s="26" t="s">
        <v>1358</v>
      </c>
      <c r="EF275" s="26"/>
      <c r="FZ275" t="s">
        <v>806</v>
      </c>
      <c r="GA275">
        <v>0</v>
      </c>
      <c r="GE275" s="26" t="s">
        <v>1358</v>
      </c>
      <c r="HA275" s="5" t="s">
        <v>1</v>
      </c>
      <c r="HB275" s="4" t="s">
        <v>1</v>
      </c>
      <c r="HC275" t="s">
        <v>1</v>
      </c>
      <c r="HD275" t="s">
        <v>1</v>
      </c>
      <c r="HE275" t="s">
        <v>1</v>
      </c>
      <c r="HF275" s="5" t="s">
        <v>1</v>
      </c>
      <c r="HG275" s="4" t="s">
        <v>1</v>
      </c>
      <c r="HH275" t="s">
        <v>1</v>
      </c>
      <c r="HI275" t="s">
        <v>1</v>
      </c>
      <c r="HJ275" t="s">
        <v>1</v>
      </c>
      <c r="HK275" t="s">
        <v>815</v>
      </c>
      <c r="HL275" s="34">
        <v>1.3216666666666668</v>
      </c>
      <c r="HM275">
        <v>0</v>
      </c>
      <c r="HN275">
        <v>60</v>
      </c>
      <c r="HO275" t="s">
        <v>1</v>
      </c>
      <c r="HP275" s="26" t="s">
        <v>1358</v>
      </c>
      <c r="HZ275" t="s">
        <v>1</v>
      </c>
      <c r="IA275" t="s">
        <v>1</v>
      </c>
      <c r="IB275" s="10" t="s">
        <v>1</v>
      </c>
      <c r="IC275" s="10"/>
      <c r="ID275" s="10"/>
      <c r="IE275" s="10" t="s">
        <v>1</v>
      </c>
      <c r="IF275" s="10" t="s">
        <v>1</v>
      </c>
      <c r="IG275" s="10"/>
      <c r="IH275" s="10"/>
      <c r="II275" s="10"/>
      <c r="IJ275" s="10"/>
      <c r="IK275" s="10"/>
      <c r="IL275" s="10"/>
      <c r="IM275" s="10"/>
      <c r="IN275" s="10"/>
      <c r="IO275" s="10"/>
      <c r="IP275" s="10"/>
      <c r="IQ275" s="10"/>
      <c r="IR275" s="10"/>
      <c r="IS275" t="s">
        <v>1</v>
      </c>
      <c r="IT275" t="s">
        <v>1</v>
      </c>
      <c r="IW275" t="s">
        <v>1</v>
      </c>
      <c r="IX275" t="s">
        <v>1</v>
      </c>
      <c r="IY275" t="s">
        <v>808</v>
      </c>
      <c r="IZ275">
        <v>5670</v>
      </c>
      <c r="JA275" t="s">
        <v>1</v>
      </c>
      <c r="JB275" s="3" t="s">
        <v>1</v>
      </c>
      <c r="JC275" t="s">
        <v>965</v>
      </c>
      <c r="JD275" s="4">
        <v>33</v>
      </c>
      <c r="JE275" t="s">
        <v>1</v>
      </c>
      <c r="JF275" t="s">
        <v>1</v>
      </c>
      <c r="JR275" t="s">
        <v>1066</v>
      </c>
      <c r="JS275">
        <v>0</v>
      </c>
      <c r="JU275" t="s">
        <v>1</v>
      </c>
      <c r="JW275" t="s">
        <v>1</v>
      </c>
      <c r="JX275">
        <v>0</v>
      </c>
      <c r="JY275">
        <v>60</v>
      </c>
      <c r="JZ275" t="s">
        <v>800</v>
      </c>
      <c r="KA275" t="s">
        <v>291</v>
      </c>
      <c r="KB275" t="s">
        <v>738</v>
      </c>
      <c r="KC275" t="s">
        <v>1</v>
      </c>
      <c r="KD275" t="s">
        <v>1</v>
      </c>
      <c r="KE275" s="1" t="s">
        <v>1</v>
      </c>
      <c r="KF275" t="s">
        <v>1</v>
      </c>
      <c r="KG275" t="s">
        <v>1</v>
      </c>
      <c r="KH275" t="s">
        <v>1</v>
      </c>
      <c r="KI275" t="s">
        <v>1</v>
      </c>
      <c r="KJ275" t="s">
        <v>1</v>
      </c>
      <c r="KK275" t="s">
        <v>1</v>
      </c>
    </row>
    <row r="276" spans="1:297" x14ac:dyDescent="0.2">
      <c r="A276">
        <v>244</v>
      </c>
      <c r="B276" t="s">
        <v>705</v>
      </c>
      <c r="C276" t="s">
        <v>295</v>
      </c>
      <c r="D276" t="s">
        <v>293</v>
      </c>
      <c r="E276">
        <v>43</v>
      </c>
      <c r="F276" t="s">
        <v>1329</v>
      </c>
      <c r="G276" t="s">
        <v>1</v>
      </c>
      <c r="H276" s="26" t="s">
        <v>1420</v>
      </c>
      <c r="I276" t="s">
        <v>1</v>
      </c>
      <c r="J276" t="s">
        <v>1</v>
      </c>
      <c r="K276" t="s">
        <v>1</v>
      </c>
      <c r="L276" t="s">
        <v>1</v>
      </c>
      <c r="M276" t="s">
        <v>1</v>
      </c>
      <c r="N276" t="s">
        <v>1</v>
      </c>
      <c r="O276" t="s">
        <v>1</v>
      </c>
      <c r="P276" t="s">
        <v>1</v>
      </c>
      <c r="Q276" t="s">
        <v>1</v>
      </c>
      <c r="R276" t="s">
        <v>1</v>
      </c>
      <c r="S276" t="s">
        <v>1</v>
      </c>
      <c r="T276" t="s">
        <v>1</v>
      </c>
      <c r="U276" t="s">
        <v>1</v>
      </c>
      <c r="V276" t="s">
        <v>1</v>
      </c>
      <c r="W276" t="s">
        <v>1</v>
      </c>
      <c r="X276" t="s">
        <v>1</v>
      </c>
      <c r="Y276" t="s">
        <v>1</v>
      </c>
      <c r="Z276" t="s">
        <v>1</v>
      </c>
      <c r="AA276" t="s">
        <v>1</v>
      </c>
      <c r="AB276" t="s">
        <v>1</v>
      </c>
      <c r="AC276" t="s">
        <v>1</v>
      </c>
      <c r="AD276" t="s">
        <v>1</v>
      </c>
      <c r="AE276" t="s">
        <v>1</v>
      </c>
      <c r="AF276" t="s">
        <v>1</v>
      </c>
      <c r="AG276" t="s">
        <v>1</v>
      </c>
      <c r="AH276" t="s">
        <v>1</v>
      </c>
      <c r="AI276" t="s">
        <v>1</v>
      </c>
      <c r="AJ276" t="s">
        <v>1</v>
      </c>
      <c r="AK276" t="s">
        <v>1</v>
      </c>
      <c r="AL276" t="s">
        <v>1</v>
      </c>
      <c r="AM276" t="s">
        <v>1</v>
      </c>
      <c r="AN276">
        <v>244</v>
      </c>
      <c r="AO276">
        <f t="shared" si="36"/>
        <v>244</v>
      </c>
      <c r="AP276">
        <f t="shared" si="40"/>
        <v>43</v>
      </c>
      <c r="AQ276">
        <f t="shared" si="41"/>
        <v>43</v>
      </c>
      <c r="AR276" s="26" t="s">
        <v>1355</v>
      </c>
      <c r="AS276" s="26" t="s">
        <v>1356</v>
      </c>
      <c r="AT276" t="s">
        <v>723</v>
      </c>
      <c r="AU276" t="s">
        <v>1</v>
      </c>
      <c r="AV276" t="s">
        <v>1</v>
      </c>
      <c r="AW276">
        <v>35.33</v>
      </c>
      <c r="AX276">
        <v>51.63</v>
      </c>
      <c r="AY276" t="s">
        <v>737</v>
      </c>
      <c r="BA276" s="3">
        <v>3</v>
      </c>
      <c r="BB276" s="3"/>
      <c r="BC276" s="3"/>
      <c r="BD276" s="3"/>
      <c r="BE276" s="3"/>
      <c r="BF276">
        <v>2003</v>
      </c>
      <c r="BG276" s="24" t="s">
        <v>733</v>
      </c>
      <c r="BH276" s="24" t="s">
        <v>733</v>
      </c>
      <c r="BI276" s="24" t="s">
        <v>733</v>
      </c>
      <c r="BJ276" s="24" t="s">
        <v>732</v>
      </c>
      <c r="BK276" s="24" t="s">
        <v>733</v>
      </c>
      <c r="BL276" s="25" t="s">
        <v>733</v>
      </c>
      <c r="BM276" s="24" t="s">
        <v>733</v>
      </c>
      <c r="BN276" s="24" t="s">
        <v>732</v>
      </c>
      <c r="BO276" s="24" t="s">
        <v>733</v>
      </c>
      <c r="BP276" s="24" t="s">
        <v>733</v>
      </c>
      <c r="BQ276" s="24" t="s">
        <v>945</v>
      </c>
      <c r="BR276" s="24" t="s">
        <v>945</v>
      </c>
      <c r="BS276" s="25" t="s">
        <v>934</v>
      </c>
      <c r="BT276" s="24" t="s">
        <v>934</v>
      </c>
      <c r="BU276" s="24" t="s">
        <v>934</v>
      </c>
      <c r="BV276" s="24" t="s">
        <v>934</v>
      </c>
      <c r="BW276" s="24" t="s">
        <v>934</v>
      </c>
      <c r="BX276" s="24" t="s">
        <v>934</v>
      </c>
      <c r="BY276" s="25" t="s">
        <v>945</v>
      </c>
      <c r="BZ276" t="s">
        <v>5</v>
      </c>
      <c r="CB276" t="s">
        <v>1</v>
      </c>
      <c r="CC276" s="4" t="s">
        <v>1</v>
      </c>
      <c r="CD276" s="4"/>
      <c r="CE276" s="4"/>
      <c r="CF276" t="s">
        <v>1</v>
      </c>
      <c r="CG276" t="s">
        <v>1</v>
      </c>
      <c r="CH276" t="s">
        <v>805</v>
      </c>
      <c r="CI276" s="1">
        <v>0.6</v>
      </c>
      <c r="CJ276" s="9" t="s">
        <v>1</v>
      </c>
      <c r="CK276" s="9" t="s">
        <v>1</v>
      </c>
      <c r="CL276" s="4" t="s">
        <v>1</v>
      </c>
      <c r="CM276" t="s">
        <v>847</v>
      </c>
      <c r="CN276" s="4">
        <v>54.8</v>
      </c>
      <c r="CO276" s="4" t="s">
        <v>1</v>
      </c>
      <c r="CP276" s="4" t="s">
        <v>1</v>
      </c>
      <c r="CQ276" s="4" t="s">
        <v>1</v>
      </c>
      <c r="CR276" s="4" t="s">
        <v>1</v>
      </c>
      <c r="CS276" s="4" t="s">
        <v>1</v>
      </c>
      <c r="CT276" s="4" t="s">
        <v>1</v>
      </c>
      <c r="CU276" s="4" t="s">
        <v>1</v>
      </c>
      <c r="CV276" t="s">
        <v>850</v>
      </c>
      <c r="CW276">
        <v>100</v>
      </c>
      <c r="CX276">
        <v>0</v>
      </c>
      <c r="CY276">
        <v>60</v>
      </c>
      <c r="CZ276" s="26" t="s">
        <v>1358</v>
      </c>
      <c r="DA276" t="s">
        <v>734</v>
      </c>
      <c r="DB276">
        <v>23</v>
      </c>
      <c r="DC276">
        <v>0</v>
      </c>
      <c r="DD276">
        <v>60</v>
      </c>
      <c r="DE276" s="26" t="s">
        <v>1358</v>
      </c>
      <c r="DF276" t="s">
        <v>735</v>
      </c>
      <c r="DG276">
        <v>45</v>
      </c>
      <c r="DH276">
        <v>0</v>
      </c>
      <c r="DI276">
        <v>60</v>
      </c>
      <c r="DJ276" s="26" t="s">
        <v>1358</v>
      </c>
      <c r="DK276" t="s">
        <v>736</v>
      </c>
      <c r="DL276">
        <v>32</v>
      </c>
      <c r="DM276">
        <v>0</v>
      </c>
      <c r="DN276">
        <v>60</v>
      </c>
      <c r="DO276" s="26" t="s">
        <v>1358</v>
      </c>
      <c r="DP276" t="s">
        <v>6</v>
      </c>
      <c r="DQ276" t="s">
        <v>1</v>
      </c>
      <c r="DR276">
        <v>7.2</v>
      </c>
      <c r="DS276">
        <v>0</v>
      </c>
      <c r="DT276">
        <v>60</v>
      </c>
      <c r="DU276" s="26" t="s">
        <v>1358</v>
      </c>
      <c r="EA276" t="s">
        <v>982</v>
      </c>
      <c r="EB276">
        <v>6.2</v>
      </c>
      <c r="EC276">
        <v>0</v>
      </c>
      <c r="ED276">
        <v>60</v>
      </c>
      <c r="EE276" s="26" t="s">
        <v>1358</v>
      </c>
      <c r="EF276" s="26"/>
      <c r="FZ276" t="s">
        <v>806</v>
      </c>
      <c r="GA276">
        <v>0</v>
      </c>
      <c r="GE276" s="26" t="s">
        <v>1358</v>
      </c>
      <c r="HA276" s="5" t="s">
        <v>1</v>
      </c>
      <c r="HB276" s="4" t="s">
        <v>1</v>
      </c>
      <c r="HC276" t="s">
        <v>1</v>
      </c>
      <c r="HD276" t="s">
        <v>1</v>
      </c>
      <c r="HE276" t="s">
        <v>1</v>
      </c>
      <c r="HF276" s="5" t="s">
        <v>1</v>
      </c>
      <c r="HG276" s="4" t="s">
        <v>1</v>
      </c>
      <c r="HH276" t="s">
        <v>1</v>
      </c>
      <c r="HI276" t="s">
        <v>1</v>
      </c>
      <c r="HJ276" t="s">
        <v>1</v>
      </c>
      <c r="HK276" t="s">
        <v>815</v>
      </c>
      <c r="HL276" s="34">
        <v>1.3216666666666668</v>
      </c>
      <c r="HM276">
        <v>0</v>
      </c>
      <c r="HN276">
        <v>60</v>
      </c>
      <c r="HO276" t="s">
        <v>1</v>
      </c>
      <c r="HP276" s="26" t="s">
        <v>1358</v>
      </c>
      <c r="HZ276" t="s">
        <v>1</v>
      </c>
      <c r="IA276" t="s">
        <v>1</v>
      </c>
      <c r="IB276" s="10" t="s">
        <v>1</v>
      </c>
      <c r="IC276" s="10"/>
      <c r="ID276" s="10"/>
      <c r="IE276" s="10" t="s">
        <v>1</v>
      </c>
      <c r="IF276" s="10" t="s">
        <v>1</v>
      </c>
      <c r="IG276" s="10"/>
      <c r="IH276" s="10"/>
      <c r="II276" s="10"/>
      <c r="IJ276" s="10"/>
      <c r="IK276" s="10"/>
      <c r="IL276" s="10"/>
      <c r="IM276" s="10"/>
      <c r="IN276" s="10"/>
      <c r="IO276" s="10"/>
      <c r="IP276" s="10"/>
      <c r="IQ276" s="10"/>
      <c r="IR276" s="10"/>
      <c r="IS276" t="s">
        <v>1</v>
      </c>
      <c r="IT276" t="s">
        <v>1</v>
      </c>
      <c r="IW276" t="s">
        <v>1</v>
      </c>
      <c r="IX276" t="s">
        <v>1</v>
      </c>
      <c r="IY276" t="s">
        <v>808</v>
      </c>
      <c r="IZ276">
        <v>6350</v>
      </c>
      <c r="JA276" t="s">
        <v>1</v>
      </c>
      <c r="JB276" s="3" t="s">
        <v>1</v>
      </c>
      <c r="JC276" t="s">
        <v>965</v>
      </c>
      <c r="JD276" s="4">
        <v>37</v>
      </c>
      <c r="JE276" t="s">
        <v>1</v>
      </c>
      <c r="JF276" t="s">
        <v>1</v>
      </c>
      <c r="JR276" t="s">
        <v>1066</v>
      </c>
      <c r="JS276">
        <v>0</v>
      </c>
      <c r="JU276" t="s">
        <v>1</v>
      </c>
      <c r="JW276" t="s">
        <v>1</v>
      </c>
      <c r="JX276">
        <v>0</v>
      </c>
      <c r="JY276">
        <v>60</v>
      </c>
      <c r="JZ276" t="s">
        <v>800</v>
      </c>
      <c r="KA276" t="s">
        <v>291</v>
      </c>
      <c r="KB276" t="s">
        <v>738</v>
      </c>
      <c r="KC276" t="s">
        <v>1</v>
      </c>
      <c r="KD276" t="s">
        <v>1</v>
      </c>
      <c r="KE276" s="1" t="s">
        <v>1</v>
      </c>
      <c r="KF276" t="s">
        <v>1</v>
      </c>
      <c r="KG276" t="s">
        <v>1</v>
      </c>
      <c r="KH276" t="s">
        <v>1</v>
      </c>
      <c r="KI276" t="s">
        <v>1</v>
      </c>
      <c r="KJ276" t="s">
        <v>1</v>
      </c>
      <c r="KK276" t="s">
        <v>1</v>
      </c>
    </row>
    <row r="277" spans="1:297" x14ac:dyDescent="0.2">
      <c r="A277">
        <v>245</v>
      </c>
      <c r="B277" t="s">
        <v>705</v>
      </c>
      <c r="C277" t="s">
        <v>296</v>
      </c>
      <c r="D277" t="s">
        <v>293</v>
      </c>
      <c r="E277">
        <v>43</v>
      </c>
      <c r="F277" t="s">
        <v>1329</v>
      </c>
      <c r="G277" t="s">
        <v>1</v>
      </c>
      <c r="H277" s="26" t="s">
        <v>1420</v>
      </c>
      <c r="I277" t="s">
        <v>1</v>
      </c>
      <c r="J277" t="s">
        <v>1</v>
      </c>
      <c r="K277" t="s">
        <v>1</v>
      </c>
      <c r="L277" t="s">
        <v>1</v>
      </c>
      <c r="M277" t="s">
        <v>1</v>
      </c>
      <c r="N277" t="s">
        <v>1</v>
      </c>
      <c r="O277" t="s">
        <v>1</v>
      </c>
      <c r="P277" t="s">
        <v>1</v>
      </c>
      <c r="Q277" t="s">
        <v>1</v>
      </c>
      <c r="R277" t="s">
        <v>1</v>
      </c>
      <c r="S277" t="s">
        <v>1</v>
      </c>
      <c r="T277" t="s">
        <v>1</v>
      </c>
      <c r="U277" t="s">
        <v>1</v>
      </c>
      <c r="V277" t="s">
        <v>1</v>
      </c>
      <c r="W277" t="s">
        <v>1</v>
      </c>
      <c r="X277" t="s">
        <v>1</v>
      </c>
      <c r="Y277" t="s">
        <v>1</v>
      </c>
      <c r="Z277" t="s">
        <v>1</v>
      </c>
      <c r="AA277" t="s">
        <v>1</v>
      </c>
      <c r="AB277" t="s">
        <v>1</v>
      </c>
      <c r="AC277" t="s">
        <v>1</v>
      </c>
      <c r="AD277" t="s">
        <v>1</v>
      </c>
      <c r="AE277" t="s">
        <v>1</v>
      </c>
      <c r="AF277" t="s">
        <v>1</v>
      </c>
      <c r="AG277" t="s">
        <v>1</v>
      </c>
      <c r="AH277" t="s">
        <v>1</v>
      </c>
      <c r="AI277" t="s">
        <v>1</v>
      </c>
      <c r="AJ277" t="s">
        <v>1</v>
      </c>
      <c r="AK277" t="s">
        <v>1</v>
      </c>
      <c r="AL277" t="s">
        <v>1</v>
      </c>
      <c r="AM277" t="s">
        <v>1</v>
      </c>
      <c r="AN277">
        <v>245</v>
      </c>
      <c r="AO277">
        <f t="shared" si="36"/>
        <v>245</v>
      </c>
      <c r="AP277">
        <f t="shared" si="40"/>
        <v>43</v>
      </c>
      <c r="AQ277">
        <f t="shared" si="41"/>
        <v>43</v>
      </c>
      <c r="AR277" s="26" t="s">
        <v>1355</v>
      </c>
      <c r="AS277" s="26" t="s">
        <v>1356</v>
      </c>
      <c r="AT277" t="s">
        <v>723</v>
      </c>
      <c r="AU277" t="s">
        <v>1</v>
      </c>
      <c r="AV277" t="s">
        <v>1</v>
      </c>
      <c r="AW277">
        <v>35.33</v>
      </c>
      <c r="AX277">
        <v>51.63</v>
      </c>
      <c r="AY277" t="s">
        <v>737</v>
      </c>
      <c r="BA277" s="3">
        <v>3</v>
      </c>
      <c r="BB277" s="3"/>
      <c r="BC277" s="3"/>
      <c r="BD277" s="3"/>
      <c r="BE277" s="3"/>
      <c r="BF277">
        <v>2003</v>
      </c>
      <c r="BG277" s="24" t="s">
        <v>733</v>
      </c>
      <c r="BH277" s="24" t="s">
        <v>733</v>
      </c>
      <c r="BI277" s="24" t="s">
        <v>733</v>
      </c>
      <c r="BJ277" s="24" t="s">
        <v>732</v>
      </c>
      <c r="BK277" s="24" t="s">
        <v>733</v>
      </c>
      <c r="BL277" s="25" t="s">
        <v>733</v>
      </c>
      <c r="BM277" s="24" t="s">
        <v>733</v>
      </c>
      <c r="BN277" s="24" t="s">
        <v>732</v>
      </c>
      <c r="BO277" s="24" t="s">
        <v>733</v>
      </c>
      <c r="BP277" s="24" t="s">
        <v>733</v>
      </c>
      <c r="BQ277" s="24" t="s">
        <v>945</v>
      </c>
      <c r="BR277" s="24" t="s">
        <v>945</v>
      </c>
      <c r="BS277" s="25" t="s">
        <v>934</v>
      </c>
      <c r="BT277" s="24" t="s">
        <v>934</v>
      </c>
      <c r="BU277" s="24" t="s">
        <v>934</v>
      </c>
      <c r="BV277" s="24" t="s">
        <v>934</v>
      </c>
      <c r="BW277" s="24" t="s">
        <v>934</v>
      </c>
      <c r="BX277" s="24" t="s">
        <v>934</v>
      </c>
      <c r="BY277" s="25" t="s">
        <v>945</v>
      </c>
      <c r="BZ277" t="s">
        <v>5</v>
      </c>
      <c r="CB277" t="s">
        <v>1</v>
      </c>
      <c r="CC277" s="4" t="s">
        <v>1</v>
      </c>
      <c r="CD277" s="4"/>
      <c r="CE277" s="4"/>
      <c r="CF277" t="s">
        <v>1</v>
      </c>
      <c r="CG277" t="s">
        <v>1</v>
      </c>
      <c r="CH277" t="s">
        <v>805</v>
      </c>
      <c r="CI277" s="1">
        <v>0.6</v>
      </c>
      <c r="CJ277" s="9" t="s">
        <v>1</v>
      </c>
      <c r="CK277" s="9" t="s">
        <v>1</v>
      </c>
      <c r="CL277" s="4" t="s">
        <v>1</v>
      </c>
      <c r="CM277" t="s">
        <v>847</v>
      </c>
      <c r="CN277" s="4">
        <v>76.3</v>
      </c>
      <c r="CO277" s="4" t="s">
        <v>1</v>
      </c>
      <c r="CP277" s="4" t="s">
        <v>1</v>
      </c>
      <c r="CQ277" s="4" t="s">
        <v>1</v>
      </c>
      <c r="CR277" s="4" t="s">
        <v>1</v>
      </c>
      <c r="CS277" s="4" t="s">
        <v>1</v>
      </c>
      <c r="CT277" s="4" t="s">
        <v>1</v>
      </c>
      <c r="CU277" s="4" t="s">
        <v>1</v>
      </c>
      <c r="CV277" t="s">
        <v>850</v>
      </c>
      <c r="CW277">
        <v>100</v>
      </c>
      <c r="CX277">
        <v>0</v>
      </c>
      <c r="CY277">
        <v>60</v>
      </c>
      <c r="CZ277" s="26" t="s">
        <v>1358</v>
      </c>
      <c r="DA277" t="s">
        <v>734</v>
      </c>
      <c r="DB277">
        <v>23</v>
      </c>
      <c r="DC277">
        <v>0</v>
      </c>
      <c r="DD277">
        <v>60</v>
      </c>
      <c r="DE277" s="26" t="s">
        <v>1358</v>
      </c>
      <c r="DF277" t="s">
        <v>735</v>
      </c>
      <c r="DG277">
        <v>45</v>
      </c>
      <c r="DH277">
        <v>0</v>
      </c>
      <c r="DI277">
        <v>60</v>
      </c>
      <c r="DJ277" s="26" t="s">
        <v>1358</v>
      </c>
      <c r="DK277" t="s">
        <v>736</v>
      </c>
      <c r="DL277">
        <v>32</v>
      </c>
      <c r="DM277">
        <v>0</v>
      </c>
      <c r="DN277">
        <v>60</v>
      </c>
      <c r="DO277" s="26" t="s">
        <v>1358</v>
      </c>
      <c r="DP277" t="s">
        <v>6</v>
      </c>
      <c r="DQ277" t="s">
        <v>1</v>
      </c>
      <c r="DR277">
        <v>7.2</v>
      </c>
      <c r="DS277">
        <v>0</v>
      </c>
      <c r="DT277">
        <v>60</v>
      </c>
      <c r="DU277" s="26" t="s">
        <v>1358</v>
      </c>
      <c r="EA277" t="s">
        <v>982</v>
      </c>
      <c r="EB277">
        <v>6.2</v>
      </c>
      <c r="EC277">
        <v>0</v>
      </c>
      <c r="ED277">
        <v>60</v>
      </c>
      <c r="EE277" s="26" t="s">
        <v>1358</v>
      </c>
      <c r="EF277" s="26"/>
      <c r="FZ277" t="s">
        <v>806</v>
      </c>
      <c r="GA277">
        <v>0</v>
      </c>
      <c r="GE277" s="26" t="s">
        <v>1358</v>
      </c>
      <c r="HA277" s="5" t="s">
        <v>1</v>
      </c>
      <c r="HB277" s="4" t="s">
        <v>1</v>
      </c>
      <c r="HC277" t="s">
        <v>1</v>
      </c>
      <c r="HD277" t="s">
        <v>1</v>
      </c>
      <c r="HE277" t="s">
        <v>1</v>
      </c>
      <c r="HF277" s="5" t="s">
        <v>1</v>
      </c>
      <c r="HG277" s="4" t="s">
        <v>1</v>
      </c>
      <c r="HH277" t="s">
        <v>1</v>
      </c>
      <c r="HI277" t="s">
        <v>1</v>
      </c>
      <c r="HJ277" t="s">
        <v>1</v>
      </c>
      <c r="HK277" t="s">
        <v>815</v>
      </c>
      <c r="HL277" s="34">
        <v>1.3216666666666668</v>
      </c>
      <c r="HM277">
        <v>0</v>
      </c>
      <c r="HN277">
        <v>60</v>
      </c>
      <c r="HO277" t="s">
        <v>1</v>
      </c>
      <c r="HP277" s="26" t="s">
        <v>1358</v>
      </c>
      <c r="HZ277" t="s">
        <v>1</v>
      </c>
      <c r="IA277" t="s">
        <v>1</v>
      </c>
      <c r="IB277" s="10" t="s">
        <v>1</v>
      </c>
      <c r="IC277" s="10"/>
      <c r="ID277" s="10"/>
      <c r="IE277" s="10" t="s">
        <v>1</v>
      </c>
      <c r="IF277" s="10" t="s">
        <v>1</v>
      </c>
      <c r="IG277" s="10"/>
      <c r="IH277" s="10"/>
      <c r="II277" s="10"/>
      <c r="IJ277" s="10"/>
      <c r="IK277" s="10"/>
      <c r="IL277" s="10"/>
      <c r="IM277" s="10"/>
      <c r="IN277" s="10"/>
      <c r="IO277" s="10"/>
      <c r="IP277" s="10"/>
      <c r="IQ277" s="10"/>
      <c r="IR277" s="10"/>
      <c r="IS277" t="s">
        <v>1</v>
      </c>
      <c r="IT277" t="s">
        <v>1</v>
      </c>
      <c r="IW277" t="s">
        <v>1</v>
      </c>
      <c r="IX277" t="s">
        <v>1</v>
      </c>
      <c r="IY277" t="s">
        <v>808</v>
      </c>
      <c r="IZ277">
        <v>7020</v>
      </c>
      <c r="JA277" t="s">
        <v>1</v>
      </c>
      <c r="JB277" s="3" t="s">
        <v>1</v>
      </c>
      <c r="JC277" t="s">
        <v>965</v>
      </c>
      <c r="JD277" s="4">
        <v>41</v>
      </c>
      <c r="JE277" t="s">
        <v>1</v>
      </c>
      <c r="JF277" t="s">
        <v>1</v>
      </c>
      <c r="JR277" t="s">
        <v>1066</v>
      </c>
      <c r="JS277">
        <v>2.7</v>
      </c>
      <c r="JU277" t="s">
        <v>1</v>
      </c>
      <c r="JW277" t="s">
        <v>1</v>
      </c>
      <c r="JX277">
        <v>0</v>
      </c>
      <c r="JY277">
        <v>60</v>
      </c>
      <c r="JZ277" t="s">
        <v>800</v>
      </c>
      <c r="KA277" t="s">
        <v>291</v>
      </c>
      <c r="KB277" t="s">
        <v>738</v>
      </c>
      <c r="KC277" t="s">
        <v>1</v>
      </c>
      <c r="KD277" t="s">
        <v>1</v>
      </c>
      <c r="KE277" s="1" t="s">
        <v>1</v>
      </c>
      <c r="KF277" t="s">
        <v>1</v>
      </c>
      <c r="KG277" t="s">
        <v>1</v>
      </c>
      <c r="KH277" t="s">
        <v>1</v>
      </c>
      <c r="KI277" t="s">
        <v>1</v>
      </c>
      <c r="KJ277" t="s">
        <v>1</v>
      </c>
      <c r="KK277" t="s">
        <v>1</v>
      </c>
    </row>
    <row r="278" spans="1:297" x14ac:dyDescent="0.2">
      <c r="A278">
        <v>246</v>
      </c>
      <c r="B278" t="s">
        <v>705</v>
      </c>
      <c r="C278" t="s">
        <v>297</v>
      </c>
      <c r="D278" t="s">
        <v>293</v>
      </c>
      <c r="E278">
        <v>43</v>
      </c>
      <c r="F278" t="s">
        <v>1329</v>
      </c>
      <c r="G278" t="s">
        <v>1</v>
      </c>
      <c r="H278" s="26" t="s">
        <v>1420</v>
      </c>
      <c r="I278" t="s">
        <v>1</v>
      </c>
      <c r="J278" t="s">
        <v>1</v>
      </c>
      <c r="K278" t="s">
        <v>1</v>
      </c>
      <c r="L278" t="s">
        <v>1</v>
      </c>
      <c r="M278" t="s">
        <v>1</v>
      </c>
      <c r="N278" t="s">
        <v>1</v>
      </c>
      <c r="O278" t="s">
        <v>1</v>
      </c>
      <c r="P278" t="s">
        <v>1</v>
      </c>
      <c r="Q278" t="s">
        <v>1</v>
      </c>
      <c r="R278" t="s">
        <v>1</v>
      </c>
      <c r="S278" t="s">
        <v>1</v>
      </c>
      <c r="T278" t="s">
        <v>1</v>
      </c>
      <c r="U278" t="s">
        <v>1</v>
      </c>
      <c r="V278" t="s">
        <v>1</v>
      </c>
      <c r="W278" t="s">
        <v>1</v>
      </c>
      <c r="X278" t="s">
        <v>1</v>
      </c>
      <c r="Y278" t="s">
        <v>1</v>
      </c>
      <c r="Z278" t="s">
        <v>1</v>
      </c>
      <c r="AA278" t="s">
        <v>1</v>
      </c>
      <c r="AB278" t="s">
        <v>1</v>
      </c>
      <c r="AC278" t="s">
        <v>1</v>
      </c>
      <c r="AD278" t="s">
        <v>1</v>
      </c>
      <c r="AE278" t="s">
        <v>1</v>
      </c>
      <c r="AF278" t="s">
        <v>1</v>
      </c>
      <c r="AG278" t="s">
        <v>1</v>
      </c>
      <c r="AH278" t="s">
        <v>1</v>
      </c>
      <c r="AI278" t="s">
        <v>1</v>
      </c>
      <c r="AJ278" t="s">
        <v>1</v>
      </c>
      <c r="AK278" t="s">
        <v>1</v>
      </c>
      <c r="AL278" t="s">
        <v>1</v>
      </c>
      <c r="AM278" t="s">
        <v>1</v>
      </c>
      <c r="AN278">
        <v>246</v>
      </c>
      <c r="AO278">
        <f t="shared" si="36"/>
        <v>246</v>
      </c>
      <c r="AP278">
        <f t="shared" si="40"/>
        <v>43</v>
      </c>
      <c r="AQ278">
        <f t="shared" si="41"/>
        <v>43</v>
      </c>
      <c r="AR278" s="26" t="s">
        <v>1355</v>
      </c>
      <c r="AS278" s="26" t="s">
        <v>1356</v>
      </c>
      <c r="AT278" t="s">
        <v>723</v>
      </c>
      <c r="AU278" t="s">
        <v>1</v>
      </c>
      <c r="AV278" t="s">
        <v>1</v>
      </c>
      <c r="AW278">
        <v>35.33</v>
      </c>
      <c r="AX278">
        <v>51.63</v>
      </c>
      <c r="AY278" t="s">
        <v>737</v>
      </c>
      <c r="BA278" s="3">
        <v>3</v>
      </c>
      <c r="BB278" s="3"/>
      <c r="BC278" s="3"/>
      <c r="BD278" s="3"/>
      <c r="BE278" s="3"/>
      <c r="BF278">
        <v>2003</v>
      </c>
      <c r="BG278" s="24" t="s">
        <v>733</v>
      </c>
      <c r="BH278" s="24" t="s">
        <v>733</v>
      </c>
      <c r="BI278" s="24" t="s">
        <v>733</v>
      </c>
      <c r="BJ278" s="24" t="s">
        <v>732</v>
      </c>
      <c r="BK278" s="24" t="s">
        <v>733</v>
      </c>
      <c r="BL278" s="25" t="s">
        <v>733</v>
      </c>
      <c r="BM278" s="24" t="s">
        <v>733</v>
      </c>
      <c r="BN278" s="24" t="s">
        <v>732</v>
      </c>
      <c r="BO278" s="24" t="s">
        <v>733</v>
      </c>
      <c r="BP278" s="24" t="s">
        <v>733</v>
      </c>
      <c r="BQ278" s="24" t="s">
        <v>945</v>
      </c>
      <c r="BR278" s="24" t="s">
        <v>945</v>
      </c>
      <c r="BS278" s="25" t="s">
        <v>934</v>
      </c>
      <c r="BT278" s="24" t="s">
        <v>934</v>
      </c>
      <c r="BU278" s="24" t="s">
        <v>934</v>
      </c>
      <c r="BV278" s="24" t="s">
        <v>934</v>
      </c>
      <c r="BW278" s="24" t="s">
        <v>934</v>
      </c>
      <c r="BX278" s="24" t="s">
        <v>934</v>
      </c>
      <c r="BY278" s="25" t="s">
        <v>945</v>
      </c>
      <c r="BZ278" t="s">
        <v>5</v>
      </c>
      <c r="CB278" t="s">
        <v>1</v>
      </c>
      <c r="CC278" s="4" t="s">
        <v>1</v>
      </c>
      <c r="CD278" s="4"/>
      <c r="CE278" s="4"/>
      <c r="CF278" t="s">
        <v>1</v>
      </c>
      <c r="CG278" t="s">
        <v>1</v>
      </c>
      <c r="CH278" t="s">
        <v>805</v>
      </c>
      <c r="CI278" s="1">
        <v>0.6</v>
      </c>
      <c r="CJ278" s="9" t="s">
        <v>1</v>
      </c>
      <c r="CK278" s="9" t="s">
        <v>1</v>
      </c>
      <c r="CL278" s="4" t="s">
        <v>1</v>
      </c>
      <c r="CM278" t="s">
        <v>847</v>
      </c>
      <c r="CN278" s="4">
        <v>79.400000000000006</v>
      </c>
      <c r="CO278" s="4" t="s">
        <v>1</v>
      </c>
      <c r="CP278" s="4" t="s">
        <v>1</v>
      </c>
      <c r="CQ278" s="4" t="s">
        <v>1</v>
      </c>
      <c r="CR278" s="4" t="s">
        <v>1</v>
      </c>
      <c r="CS278" s="4" t="s">
        <v>1</v>
      </c>
      <c r="CT278" s="4" t="s">
        <v>1</v>
      </c>
      <c r="CU278" s="4" t="s">
        <v>1</v>
      </c>
      <c r="CV278" t="s">
        <v>850</v>
      </c>
      <c r="CW278">
        <v>100</v>
      </c>
      <c r="CX278">
        <v>0</v>
      </c>
      <c r="CY278">
        <v>60</v>
      </c>
      <c r="CZ278" s="26" t="s">
        <v>1358</v>
      </c>
      <c r="DA278" t="s">
        <v>734</v>
      </c>
      <c r="DB278">
        <v>23</v>
      </c>
      <c r="DC278">
        <v>0</v>
      </c>
      <c r="DD278">
        <v>60</v>
      </c>
      <c r="DE278" s="26" t="s">
        <v>1358</v>
      </c>
      <c r="DF278" t="s">
        <v>735</v>
      </c>
      <c r="DG278">
        <v>45</v>
      </c>
      <c r="DH278">
        <v>0</v>
      </c>
      <c r="DI278">
        <v>60</v>
      </c>
      <c r="DJ278" s="26" t="s">
        <v>1358</v>
      </c>
      <c r="DK278" t="s">
        <v>736</v>
      </c>
      <c r="DL278">
        <v>32</v>
      </c>
      <c r="DM278">
        <v>0</v>
      </c>
      <c r="DN278">
        <v>60</v>
      </c>
      <c r="DO278" s="26" t="s">
        <v>1358</v>
      </c>
      <c r="DP278" t="s">
        <v>6</v>
      </c>
      <c r="DQ278" t="s">
        <v>1</v>
      </c>
      <c r="DR278">
        <v>7.2</v>
      </c>
      <c r="DS278">
        <v>0</v>
      </c>
      <c r="DT278">
        <v>60</v>
      </c>
      <c r="DU278" s="26" t="s">
        <v>1358</v>
      </c>
      <c r="EA278" t="s">
        <v>982</v>
      </c>
      <c r="EB278">
        <v>6.2</v>
      </c>
      <c r="EC278">
        <v>0</v>
      </c>
      <c r="ED278">
        <v>60</v>
      </c>
      <c r="EE278" s="26" t="s">
        <v>1358</v>
      </c>
      <c r="EF278" s="26"/>
      <c r="FZ278" t="s">
        <v>806</v>
      </c>
      <c r="GA278">
        <v>0</v>
      </c>
      <c r="GE278" s="26" t="s">
        <v>1358</v>
      </c>
      <c r="HA278" s="5" t="s">
        <v>1</v>
      </c>
      <c r="HB278" s="4" t="s">
        <v>1</v>
      </c>
      <c r="HC278" t="s">
        <v>1</v>
      </c>
      <c r="HD278" t="s">
        <v>1</v>
      </c>
      <c r="HE278" t="s">
        <v>1</v>
      </c>
      <c r="HF278" s="5" t="s">
        <v>1</v>
      </c>
      <c r="HG278" s="4" t="s">
        <v>1</v>
      </c>
      <c r="HH278" t="s">
        <v>1</v>
      </c>
      <c r="HI278" t="s">
        <v>1</v>
      </c>
      <c r="HJ278" t="s">
        <v>1</v>
      </c>
      <c r="HK278" t="s">
        <v>815</v>
      </c>
      <c r="HL278" s="34">
        <v>1.3216666666666668</v>
      </c>
      <c r="HM278">
        <v>0</v>
      </c>
      <c r="HN278">
        <v>60</v>
      </c>
      <c r="HO278" t="s">
        <v>1</v>
      </c>
      <c r="HP278" s="26" t="s">
        <v>1358</v>
      </c>
      <c r="HZ278" t="s">
        <v>1</v>
      </c>
      <c r="IA278" t="s">
        <v>1</v>
      </c>
      <c r="IB278" s="10" t="s">
        <v>1</v>
      </c>
      <c r="IC278" s="10"/>
      <c r="ID278" s="10"/>
      <c r="IE278" s="10" t="s">
        <v>1</v>
      </c>
      <c r="IF278" s="10" t="s">
        <v>1</v>
      </c>
      <c r="IG278" s="10"/>
      <c r="IH278" s="10"/>
      <c r="II278" s="10"/>
      <c r="IJ278" s="10"/>
      <c r="IK278" s="10"/>
      <c r="IL278" s="10"/>
      <c r="IM278" s="10"/>
      <c r="IN278" s="10"/>
      <c r="IO278" s="10"/>
      <c r="IP278" s="10"/>
      <c r="IQ278" s="10"/>
      <c r="IR278" s="10"/>
      <c r="IS278" t="s">
        <v>1</v>
      </c>
      <c r="IT278" t="s">
        <v>1</v>
      </c>
      <c r="IW278" t="s">
        <v>1</v>
      </c>
      <c r="IX278" t="s">
        <v>1</v>
      </c>
      <c r="IY278" t="s">
        <v>808</v>
      </c>
      <c r="IZ278">
        <v>7660</v>
      </c>
      <c r="JA278" t="s">
        <v>1</v>
      </c>
      <c r="JB278" s="3" t="s">
        <v>1</v>
      </c>
      <c r="JC278" t="s">
        <v>965</v>
      </c>
      <c r="JD278" s="4">
        <v>44</v>
      </c>
      <c r="JE278" t="s">
        <v>1</v>
      </c>
      <c r="JF278" t="s">
        <v>1</v>
      </c>
      <c r="JR278" t="s">
        <v>1066</v>
      </c>
      <c r="JS278">
        <v>15.9</v>
      </c>
      <c r="JU278" t="s">
        <v>1</v>
      </c>
      <c r="JW278" t="s">
        <v>1</v>
      </c>
      <c r="JX278">
        <v>0</v>
      </c>
      <c r="JY278">
        <v>60</v>
      </c>
      <c r="JZ278" t="s">
        <v>800</v>
      </c>
      <c r="KA278" t="s">
        <v>291</v>
      </c>
      <c r="KB278" t="s">
        <v>738</v>
      </c>
      <c r="KC278" t="s">
        <v>1</v>
      </c>
      <c r="KD278" t="s">
        <v>1</v>
      </c>
      <c r="KE278" s="1" t="s">
        <v>1</v>
      </c>
      <c r="KF278" t="s">
        <v>1</v>
      </c>
      <c r="KG278" t="s">
        <v>1</v>
      </c>
      <c r="KH278" t="s">
        <v>1</v>
      </c>
      <c r="KI278" t="s">
        <v>1</v>
      </c>
      <c r="KJ278" t="s">
        <v>1</v>
      </c>
      <c r="KK278" t="s">
        <v>1</v>
      </c>
    </row>
    <row r="279" spans="1:297" x14ac:dyDescent="0.2">
      <c r="A279">
        <v>247</v>
      </c>
      <c r="B279" t="s">
        <v>705</v>
      </c>
      <c r="C279" t="s">
        <v>298</v>
      </c>
      <c r="D279" t="s">
        <v>293</v>
      </c>
      <c r="E279">
        <v>43</v>
      </c>
      <c r="F279" t="s">
        <v>1329</v>
      </c>
      <c r="G279" t="s">
        <v>1</v>
      </c>
      <c r="H279" s="26" t="s">
        <v>1420</v>
      </c>
      <c r="I279" t="s">
        <v>1</v>
      </c>
      <c r="J279" t="s">
        <v>1</v>
      </c>
      <c r="K279" t="s">
        <v>1</v>
      </c>
      <c r="L279" t="s">
        <v>1</v>
      </c>
      <c r="M279" t="s">
        <v>1</v>
      </c>
      <c r="N279" t="s">
        <v>1</v>
      </c>
      <c r="O279" t="s">
        <v>1</v>
      </c>
      <c r="P279" t="s">
        <v>1</v>
      </c>
      <c r="Q279" t="s">
        <v>1</v>
      </c>
      <c r="R279" t="s">
        <v>1</v>
      </c>
      <c r="S279" t="s">
        <v>1</v>
      </c>
      <c r="T279" t="s">
        <v>1</v>
      </c>
      <c r="U279" t="s">
        <v>1</v>
      </c>
      <c r="V279" t="s">
        <v>1</v>
      </c>
      <c r="W279" t="s">
        <v>1</v>
      </c>
      <c r="X279" t="s">
        <v>1</v>
      </c>
      <c r="Y279" t="s">
        <v>1</v>
      </c>
      <c r="Z279" t="s">
        <v>1</v>
      </c>
      <c r="AA279" t="s">
        <v>1</v>
      </c>
      <c r="AB279" t="s">
        <v>1</v>
      </c>
      <c r="AC279" t="s">
        <v>1</v>
      </c>
      <c r="AD279" t="s">
        <v>1</v>
      </c>
      <c r="AE279" t="s">
        <v>1</v>
      </c>
      <c r="AF279" t="s">
        <v>1</v>
      </c>
      <c r="AG279" t="s">
        <v>1</v>
      </c>
      <c r="AH279" t="s">
        <v>1</v>
      </c>
      <c r="AI279" t="s">
        <v>1</v>
      </c>
      <c r="AJ279" t="s">
        <v>1</v>
      </c>
      <c r="AK279" t="s">
        <v>1</v>
      </c>
      <c r="AL279" t="s">
        <v>1</v>
      </c>
      <c r="AM279" t="s">
        <v>1</v>
      </c>
      <c r="AN279">
        <v>247</v>
      </c>
      <c r="AO279">
        <f t="shared" si="36"/>
        <v>247</v>
      </c>
      <c r="AP279">
        <f t="shared" si="40"/>
        <v>43</v>
      </c>
      <c r="AQ279">
        <f t="shared" si="41"/>
        <v>43</v>
      </c>
      <c r="AR279" s="26" t="s">
        <v>1355</v>
      </c>
      <c r="AS279" s="26" t="s">
        <v>1356</v>
      </c>
      <c r="AT279" t="s">
        <v>723</v>
      </c>
      <c r="AU279" t="s">
        <v>1</v>
      </c>
      <c r="AV279" t="s">
        <v>1</v>
      </c>
      <c r="AW279">
        <v>35.33</v>
      </c>
      <c r="AX279">
        <v>51.63</v>
      </c>
      <c r="AY279" t="s">
        <v>737</v>
      </c>
      <c r="BA279" s="3">
        <v>3</v>
      </c>
      <c r="BB279" s="3"/>
      <c r="BC279" s="3"/>
      <c r="BD279" s="3"/>
      <c r="BE279" s="3"/>
      <c r="BF279">
        <v>2003</v>
      </c>
      <c r="BG279" s="24" t="s">
        <v>733</v>
      </c>
      <c r="BH279" s="24" t="s">
        <v>733</v>
      </c>
      <c r="BI279" s="24" t="s">
        <v>733</v>
      </c>
      <c r="BJ279" s="24" t="s">
        <v>732</v>
      </c>
      <c r="BK279" s="24" t="s">
        <v>733</v>
      </c>
      <c r="BL279" s="25" t="s">
        <v>733</v>
      </c>
      <c r="BM279" s="24" t="s">
        <v>733</v>
      </c>
      <c r="BN279" s="24" t="s">
        <v>732</v>
      </c>
      <c r="BO279" s="24" t="s">
        <v>733</v>
      </c>
      <c r="BP279" s="24" t="s">
        <v>733</v>
      </c>
      <c r="BQ279" s="24" t="s">
        <v>945</v>
      </c>
      <c r="BR279" s="24" t="s">
        <v>945</v>
      </c>
      <c r="BS279" s="25" t="s">
        <v>934</v>
      </c>
      <c r="BT279" s="24" t="s">
        <v>934</v>
      </c>
      <c r="BU279" s="24" t="s">
        <v>934</v>
      </c>
      <c r="BV279" s="24" t="s">
        <v>934</v>
      </c>
      <c r="BW279" s="24" t="s">
        <v>934</v>
      </c>
      <c r="BX279" s="24" t="s">
        <v>934</v>
      </c>
      <c r="BY279" s="25" t="s">
        <v>945</v>
      </c>
      <c r="BZ279" t="s">
        <v>5</v>
      </c>
      <c r="CB279" t="s">
        <v>1</v>
      </c>
      <c r="CC279" s="4" t="s">
        <v>1</v>
      </c>
      <c r="CD279" s="4"/>
      <c r="CE279" s="4"/>
      <c r="CF279" t="s">
        <v>1</v>
      </c>
      <c r="CG279" t="s">
        <v>1</v>
      </c>
      <c r="CH279" t="s">
        <v>805</v>
      </c>
      <c r="CI279" s="1">
        <v>0.6</v>
      </c>
      <c r="CJ279" s="9" t="s">
        <v>1</v>
      </c>
      <c r="CK279" s="9" t="s">
        <v>1</v>
      </c>
      <c r="CL279" s="4" t="s">
        <v>1</v>
      </c>
      <c r="CM279" t="s">
        <v>847</v>
      </c>
      <c r="CN279" s="4">
        <v>98.4</v>
      </c>
      <c r="CO279" s="4" t="s">
        <v>1</v>
      </c>
      <c r="CP279" s="4" t="s">
        <v>1</v>
      </c>
      <c r="CQ279" s="4" t="s">
        <v>1</v>
      </c>
      <c r="CR279" s="4" t="s">
        <v>1</v>
      </c>
      <c r="CS279" s="4" t="s">
        <v>1</v>
      </c>
      <c r="CT279" s="4" t="s">
        <v>1</v>
      </c>
      <c r="CU279" s="4" t="s">
        <v>1</v>
      </c>
      <c r="CV279" t="s">
        <v>850</v>
      </c>
      <c r="CW279">
        <v>100</v>
      </c>
      <c r="CX279">
        <v>0</v>
      </c>
      <c r="CY279">
        <v>60</v>
      </c>
      <c r="CZ279" s="26" t="s">
        <v>1358</v>
      </c>
      <c r="DA279" t="s">
        <v>734</v>
      </c>
      <c r="DB279">
        <v>23</v>
      </c>
      <c r="DC279">
        <v>0</v>
      </c>
      <c r="DD279">
        <v>60</v>
      </c>
      <c r="DE279" s="26" t="s">
        <v>1358</v>
      </c>
      <c r="DF279" t="s">
        <v>735</v>
      </c>
      <c r="DG279">
        <v>45</v>
      </c>
      <c r="DH279">
        <v>0</v>
      </c>
      <c r="DI279">
        <v>60</v>
      </c>
      <c r="DJ279" s="26" t="s">
        <v>1358</v>
      </c>
      <c r="DK279" t="s">
        <v>736</v>
      </c>
      <c r="DL279">
        <v>32</v>
      </c>
      <c r="DM279">
        <v>0</v>
      </c>
      <c r="DN279">
        <v>60</v>
      </c>
      <c r="DO279" s="26" t="s">
        <v>1358</v>
      </c>
      <c r="DP279" t="s">
        <v>6</v>
      </c>
      <c r="DQ279" t="s">
        <v>1</v>
      </c>
      <c r="DR279">
        <v>7.2</v>
      </c>
      <c r="DS279">
        <v>0</v>
      </c>
      <c r="DT279">
        <v>60</v>
      </c>
      <c r="DU279" s="26" t="s">
        <v>1358</v>
      </c>
      <c r="EA279" t="s">
        <v>982</v>
      </c>
      <c r="EB279">
        <v>6.2</v>
      </c>
      <c r="EC279">
        <v>0</v>
      </c>
      <c r="ED279">
        <v>60</v>
      </c>
      <c r="EE279" s="26" t="s">
        <v>1358</v>
      </c>
      <c r="EF279" s="26"/>
      <c r="FZ279" t="s">
        <v>806</v>
      </c>
      <c r="GA279">
        <v>0</v>
      </c>
      <c r="GE279" s="26" t="s">
        <v>1358</v>
      </c>
      <c r="HA279" s="5" t="s">
        <v>1</v>
      </c>
      <c r="HB279" s="4" t="s">
        <v>1</v>
      </c>
      <c r="HC279" t="s">
        <v>1</v>
      </c>
      <c r="HD279" t="s">
        <v>1</v>
      </c>
      <c r="HE279" t="s">
        <v>1</v>
      </c>
      <c r="HF279" s="5" t="s">
        <v>1</v>
      </c>
      <c r="HG279" s="4" t="s">
        <v>1</v>
      </c>
      <c r="HH279" t="s">
        <v>1</v>
      </c>
      <c r="HI279" t="s">
        <v>1</v>
      </c>
      <c r="HJ279" t="s">
        <v>1</v>
      </c>
      <c r="HK279" t="s">
        <v>815</v>
      </c>
      <c r="HL279" s="34">
        <v>1.3216666666666668</v>
      </c>
      <c r="HM279">
        <v>0</v>
      </c>
      <c r="HN279">
        <v>60</v>
      </c>
      <c r="HO279" t="s">
        <v>1</v>
      </c>
      <c r="HP279" s="26" t="s">
        <v>1358</v>
      </c>
      <c r="HZ279" t="s">
        <v>969</v>
      </c>
      <c r="IA279">
        <v>150</v>
      </c>
      <c r="IB279" s="10" t="s">
        <v>1</v>
      </c>
      <c r="IC279" s="10"/>
      <c r="ID279" s="10"/>
      <c r="IE279" s="10" t="s">
        <v>1</v>
      </c>
      <c r="IF279" s="10" t="s">
        <v>1</v>
      </c>
      <c r="IG279" s="10"/>
      <c r="IH279" s="10"/>
      <c r="II279" s="10"/>
      <c r="IJ279" s="10"/>
      <c r="IK279" s="10"/>
      <c r="IL279" s="10"/>
      <c r="IM279" s="10"/>
      <c r="IN279" s="10"/>
      <c r="IO279" s="10"/>
      <c r="IP279" s="10"/>
      <c r="IQ279" s="10"/>
      <c r="IR279" s="10"/>
      <c r="IS279" t="s">
        <v>1</v>
      </c>
      <c r="IT279" t="s">
        <v>1</v>
      </c>
      <c r="IW279" t="s">
        <v>1</v>
      </c>
      <c r="IX279" t="s">
        <v>1</v>
      </c>
      <c r="IY279" t="s">
        <v>808</v>
      </c>
      <c r="IZ279">
        <v>5670</v>
      </c>
      <c r="JA279" t="s">
        <v>1</v>
      </c>
      <c r="JB279" s="3" t="s">
        <v>1</v>
      </c>
      <c r="JC279" t="s">
        <v>965</v>
      </c>
      <c r="JD279" s="4">
        <v>33</v>
      </c>
      <c r="JE279" t="s">
        <v>1</v>
      </c>
      <c r="JF279" t="s">
        <v>1</v>
      </c>
      <c r="JR279" t="s">
        <v>1066</v>
      </c>
      <c r="JS279">
        <v>0</v>
      </c>
      <c r="JU279" t="s">
        <v>1</v>
      </c>
      <c r="JW279" t="s">
        <v>1</v>
      </c>
      <c r="JX279">
        <v>0</v>
      </c>
      <c r="JY279">
        <v>60</v>
      </c>
      <c r="JZ279" t="s">
        <v>800</v>
      </c>
      <c r="KA279" t="s">
        <v>291</v>
      </c>
      <c r="KB279" t="s">
        <v>738</v>
      </c>
      <c r="KC279" t="s">
        <v>1</v>
      </c>
      <c r="KD279" t="s">
        <v>1</v>
      </c>
      <c r="KE279" s="1" t="s">
        <v>1</v>
      </c>
      <c r="KF279" t="s">
        <v>1</v>
      </c>
      <c r="KG279" t="s">
        <v>1</v>
      </c>
      <c r="KH279" t="s">
        <v>1</v>
      </c>
      <c r="KI279" t="s">
        <v>1</v>
      </c>
      <c r="KJ279" t="s">
        <v>1</v>
      </c>
      <c r="KK279" t="s">
        <v>1</v>
      </c>
    </row>
    <row r="280" spans="1:297" x14ac:dyDescent="0.2">
      <c r="A280">
        <v>248</v>
      </c>
      <c r="B280" t="s">
        <v>705</v>
      </c>
      <c r="C280" t="s">
        <v>299</v>
      </c>
      <c r="D280" t="s">
        <v>293</v>
      </c>
      <c r="E280">
        <v>43</v>
      </c>
      <c r="F280" t="s">
        <v>1329</v>
      </c>
      <c r="G280" t="s">
        <v>1</v>
      </c>
      <c r="H280" s="26" t="s">
        <v>1420</v>
      </c>
      <c r="I280" t="s">
        <v>1</v>
      </c>
      <c r="J280" t="s">
        <v>1</v>
      </c>
      <c r="K280" t="s">
        <v>1</v>
      </c>
      <c r="L280" t="s">
        <v>1</v>
      </c>
      <c r="M280" t="s">
        <v>1</v>
      </c>
      <c r="N280" t="s">
        <v>1</v>
      </c>
      <c r="O280" t="s">
        <v>1</v>
      </c>
      <c r="P280" t="s">
        <v>1</v>
      </c>
      <c r="Q280" t="s">
        <v>1</v>
      </c>
      <c r="R280" t="s">
        <v>1</v>
      </c>
      <c r="S280" t="s">
        <v>1</v>
      </c>
      <c r="T280" t="s">
        <v>1</v>
      </c>
      <c r="U280" t="s">
        <v>1</v>
      </c>
      <c r="V280" t="s">
        <v>1</v>
      </c>
      <c r="W280" t="s">
        <v>1</v>
      </c>
      <c r="X280" t="s">
        <v>1</v>
      </c>
      <c r="Y280" t="s">
        <v>1</v>
      </c>
      <c r="Z280" t="s">
        <v>1</v>
      </c>
      <c r="AA280" t="s">
        <v>1</v>
      </c>
      <c r="AB280" t="s">
        <v>1</v>
      </c>
      <c r="AC280" t="s">
        <v>1</v>
      </c>
      <c r="AD280" t="s">
        <v>1</v>
      </c>
      <c r="AE280" t="s">
        <v>1</v>
      </c>
      <c r="AF280" t="s">
        <v>1</v>
      </c>
      <c r="AG280" t="s">
        <v>1</v>
      </c>
      <c r="AH280" t="s">
        <v>1</v>
      </c>
      <c r="AI280" t="s">
        <v>1</v>
      </c>
      <c r="AJ280" t="s">
        <v>1</v>
      </c>
      <c r="AK280" t="s">
        <v>1</v>
      </c>
      <c r="AL280" t="s">
        <v>1</v>
      </c>
      <c r="AM280" t="s">
        <v>1</v>
      </c>
      <c r="AN280">
        <v>248</v>
      </c>
      <c r="AO280">
        <f t="shared" si="36"/>
        <v>248</v>
      </c>
      <c r="AP280">
        <f t="shared" si="40"/>
        <v>43</v>
      </c>
      <c r="AQ280">
        <f t="shared" si="41"/>
        <v>43</v>
      </c>
      <c r="AR280" s="26" t="s">
        <v>1355</v>
      </c>
      <c r="AS280" s="26" t="s">
        <v>1356</v>
      </c>
      <c r="AT280" t="s">
        <v>723</v>
      </c>
      <c r="AU280" t="s">
        <v>1</v>
      </c>
      <c r="AV280" t="s">
        <v>1</v>
      </c>
      <c r="AW280">
        <v>35.33</v>
      </c>
      <c r="AX280">
        <v>51.63</v>
      </c>
      <c r="AY280" t="s">
        <v>737</v>
      </c>
      <c r="BA280" s="3">
        <v>3</v>
      </c>
      <c r="BB280" s="3"/>
      <c r="BC280" s="3"/>
      <c r="BD280" s="3"/>
      <c r="BE280" s="3"/>
      <c r="BF280">
        <v>2003</v>
      </c>
      <c r="BG280" s="24" t="s">
        <v>733</v>
      </c>
      <c r="BH280" s="24" t="s">
        <v>733</v>
      </c>
      <c r="BI280" s="24" t="s">
        <v>733</v>
      </c>
      <c r="BJ280" s="24" t="s">
        <v>732</v>
      </c>
      <c r="BK280" s="24" t="s">
        <v>733</v>
      </c>
      <c r="BL280" s="25" t="s">
        <v>733</v>
      </c>
      <c r="BM280" s="24" t="s">
        <v>733</v>
      </c>
      <c r="BN280" s="24" t="s">
        <v>732</v>
      </c>
      <c r="BO280" s="24" t="s">
        <v>733</v>
      </c>
      <c r="BP280" s="24" t="s">
        <v>733</v>
      </c>
      <c r="BQ280" s="24" t="s">
        <v>945</v>
      </c>
      <c r="BR280" s="24" t="s">
        <v>945</v>
      </c>
      <c r="BS280" s="25" t="s">
        <v>934</v>
      </c>
      <c r="BT280" s="24" t="s">
        <v>934</v>
      </c>
      <c r="BU280" s="24" t="s">
        <v>934</v>
      </c>
      <c r="BV280" s="24" t="s">
        <v>934</v>
      </c>
      <c r="BW280" s="24" t="s">
        <v>934</v>
      </c>
      <c r="BX280" s="24" t="s">
        <v>934</v>
      </c>
      <c r="BY280" s="25" t="s">
        <v>945</v>
      </c>
      <c r="BZ280" t="s">
        <v>5</v>
      </c>
      <c r="CB280" t="s">
        <v>1</v>
      </c>
      <c r="CC280" s="4" t="s">
        <v>1</v>
      </c>
      <c r="CD280" s="4"/>
      <c r="CE280" s="4"/>
      <c r="CF280" t="s">
        <v>1</v>
      </c>
      <c r="CG280" t="s">
        <v>1</v>
      </c>
      <c r="CH280" t="s">
        <v>805</v>
      </c>
      <c r="CI280" s="1">
        <v>0.6</v>
      </c>
      <c r="CJ280" s="9" t="s">
        <v>1</v>
      </c>
      <c r="CK280" s="9" t="s">
        <v>1</v>
      </c>
      <c r="CL280" s="4" t="s">
        <v>1</v>
      </c>
      <c r="CM280" t="s">
        <v>847</v>
      </c>
      <c r="CN280" s="4">
        <v>107.6</v>
      </c>
      <c r="CO280" s="4" t="s">
        <v>1</v>
      </c>
      <c r="CP280" s="4" t="s">
        <v>1</v>
      </c>
      <c r="CQ280" s="4" t="s">
        <v>1</v>
      </c>
      <c r="CR280" s="4" t="s">
        <v>1</v>
      </c>
      <c r="CS280" s="4" t="s">
        <v>1</v>
      </c>
      <c r="CT280" s="4" t="s">
        <v>1</v>
      </c>
      <c r="CU280" s="4" t="s">
        <v>1</v>
      </c>
      <c r="CV280" t="s">
        <v>850</v>
      </c>
      <c r="CW280">
        <v>100</v>
      </c>
      <c r="CX280">
        <v>0</v>
      </c>
      <c r="CY280">
        <v>60</v>
      </c>
      <c r="CZ280" s="26" t="s">
        <v>1358</v>
      </c>
      <c r="DA280" t="s">
        <v>734</v>
      </c>
      <c r="DB280">
        <v>23</v>
      </c>
      <c r="DC280">
        <v>0</v>
      </c>
      <c r="DD280">
        <v>60</v>
      </c>
      <c r="DE280" s="26" t="s">
        <v>1358</v>
      </c>
      <c r="DF280" t="s">
        <v>735</v>
      </c>
      <c r="DG280">
        <v>45</v>
      </c>
      <c r="DH280">
        <v>0</v>
      </c>
      <c r="DI280">
        <v>60</v>
      </c>
      <c r="DJ280" s="26" t="s">
        <v>1358</v>
      </c>
      <c r="DK280" t="s">
        <v>736</v>
      </c>
      <c r="DL280">
        <v>32</v>
      </c>
      <c r="DM280">
        <v>0</v>
      </c>
      <c r="DN280">
        <v>60</v>
      </c>
      <c r="DO280" s="26" t="s">
        <v>1358</v>
      </c>
      <c r="DP280" t="s">
        <v>6</v>
      </c>
      <c r="DQ280" t="s">
        <v>1</v>
      </c>
      <c r="DR280">
        <v>7.2</v>
      </c>
      <c r="DS280">
        <v>0</v>
      </c>
      <c r="DT280">
        <v>60</v>
      </c>
      <c r="DU280" s="26" t="s">
        <v>1358</v>
      </c>
      <c r="EA280" t="s">
        <v>982</v>
      </c>
      <c r="EB280">
        <v>6.2</v>
      </c>
      <c r="EC280">
        <v>0</v>
      </c>
      <c r="ED280">
        <v>60</v>
      </c>
      <c r="EE280" s="26" t="s">
        <v>1358</v>
      </c>
      <c r="EF280" s="26"/>
      <c r="FZ280" t="s">
        <v>806</v>
      </c>
      <c r="GA280">
        <v>0</v>
      </c>
      <c r="GE280" s="26" t="s">
        <v>1358</v>
      </c>
      <c r="HA280" s="5" t="s">
        <v>1</v>
      </c>
      <c r="HB280" s="4" t="s">
        <v>1</v>
      </c>
      <c r="HC280" t="s">
        <v>1</v>
      </c>
      <c r="HD280" t="s">
        <v>1</v>
      </c>
      <c r="HE280" t="s">
        <v>1</v>
      </c>
      <c r="HF280" s="5" t="s">
        <v>1</v>
      </c>
      <c r="HG280" s="4" t="s">
        <v>1</v>
      </c>
      <c r="HH280" t="s">
        <v>1</v>
      </c>
      <c r="HI280" t="s">
        <v>1</v>
      </c>
      <c r="HJ280" t="s">
        <v>1</v>
      </c>
      <c r="HK280" t="s">
        <v>815</v>
      </c>
      <c r="HL280" s="34">
        <v>1.3216666666666668</v>
      </c>
      <c r="HM280">
        <v>0</v>
      </c>
      <c r="HN280">
        <v>60</v>
      </c>
      <c r="HO280" t="s">
        <v>1</v>
      </c>
      <c r="HP280" s="26" t="s">
        <v>1358</v>
      </c>
      <c r="HZ280" t="s">
        <v>969</v>
      </c>
      <c r="IA280">
        <v>150</v>
      </c>
      <c r="IB280" s="10" t="s">
        <v>1</v>
      </c>
      <c r="IC280" s="10"/>
      <c r="ID280" s="10"/>
      <c r="IE280" s="10" t="s">
        <v>1</v>
      </c>
      <c r="IF280" s="10" t="s">
        <v>1</v>
      </c>
      <c r="IG280" s="10"/>
      <c r="IH280" s="10"/>
      <c r="II280" s="10"/>
      <c r="IJ280" s="10"/>
      <c r="IK280" s="10"/>
      <c r="IL280" s="10"/>
      <c r="IM280" s="10"/>
      <c r="IN280" s="10"/>
      <c r="IO280" s="10"/>
      <c r="IP280" s="10"/>
      <c r="IQ280" s="10"/>
      <c r="IR280" s="10"/>
      <c r="IS280" t="s">
        <v>1</v>
      </c>
      <c r="IT280" t="s">
        <v>1</v>
      </c>
      <c r="IW280" t="s">
        <v>1</v>
      </c>
      <c r="IX280" t="s">
        <v>1</v>
      </c>
      <c r="IY280" t="s">
        <v>808</v>
      </c>
      <c r="IZ280">
        <v>6350</v>
      </c>
      <c r="JA280" t="s">
        <v>1</v>
      </c>
      <c r="JB280" s="3" t="s">
        <v>1</v>
      </c>
      <c r="JC280" t="s">
        <v>965</v>
      </c>
      <c r="JD280" s="4">
        <v>37</v>
      </c>
      <c r="JE280" t="s">
        <v>1</v>
      </c>
      <c r="JF280" t="s">
        <v>1</v>
      </c>
      <c r="JR280" t="s">
        <v>1066</v>
      </c>
      <c r="JS280">
        <v>0</v>
      </c>
      <c r="JU280" t="s">
        <v>1</v>
      </c>
      <c r="JW280" t="s">
        <v>1</v>
      </c>
      <c r="JX280">
        <v>0</v>
      </c>
      <c r="JY280">
        <v>60</v>
      </c>
      <c r="JZ280" t="s">
        <v>800</v>
      </c>
      <c r="KA280" t="s">
        <v>291</v>
      </c>
      <c r="KB280" t="s">
        <v>738</v>
      </c>
      <c r="KC280" t="s">
        <v>1</v>
      </c>
      <c r="KD280" t="s">
        <v>1</v>
      </c>
      <c r="KE280" s="1" t="s">
        <v>1</v>
      </c>
      <c r="KF280" t="s">
        <v>1</v>
      </c>
      <c r="KG280" t="s">
        <v>1</v>
      </c>
      <c r="KH280" t="s">
        <v>1</v>
      </c>
      <c r="KI280" t="s">
        <v>1</v>
      </c>
      <c r="KJ280" t="s">
        <v>1</v>
      </c>
      <c r="KK280" t="s">
        <v>1</v>
      </c>
    </row>
    <row r="281" spans="1:297" x14ac:dyDescent="0.2">
      <c r="A281">
        <v>249</v>
      </c>
      <c r="B281" t="s">
        <v>705</v>
      </c>
      <c r="C281" t="s">
        <v>300</v>
      </c>
      <c r="D281" t="s">
        <v>293</v>
      </c>
      <c r="E281">
        <v>43</v>
      </c>
      <c r="F281" t="s">
        <v>1329</v>
      </c>
      <c r="G281" t="s">
        <v>1</v>
      </c>
      <c r="H281" s="26" t="s">
        <v>1420</v>
      </c>
      <c r="I281" t="s">
        <v>1</v>
      </c>
      <c r="J281" t="s">
        <v>1</v>
      </c>
      <c r="K281" t="s">
        <v>1</v>
      </c>
      <c r="L281" t="s">
        <v>1</v>
      </c>
      <c r="M281" t="s">
        <v>1</v>
      </c>
      <c r="N281" t="s">
        <v>1</v>
      </c>
      <c r="O281" t="s">
        <v>1</v>
      </c>
      <c r="P281" t="s">
        <v>1</v>
      </c>
      <c r="Q281" t="s">
        <v>1</v>
      </c>
      <c r="R281" t="s">
        <v>1</v>
      </c>
      <c r="S281" t="s">
        <v>1</v>
      </c>
      <c r="T281" t="s">
        <v>1</v>
      </c>
      <c r="U281" t="s">
        <v>1</v>
      </c>
      <c r="V281" t="s">
        <v>1</v>
      </c>
      <c r="W281" t="s">
        <v>1</v>
      </c>
      <c r="X281" t="s">
        <v>1</v>
      </c>
      <c r="Y281" t="s">
        <v>1</v>
      </c>
      <c r="Z281" t="s">
        <v>1</v>
      </c>
      <c r="AA281" t="s">
        <v>1</v>
      </c>
      <c r="AB281" t="s">
        <v>1</v>
      </c>
      <c r="AC281" t="s">
        <v>1</v>
      </c>
      <c r="AD281" t="s">
        <v>1</v>
      </c>
      <c r="AE281" t="s">
        <v>1</v>
      </c>
      <c r="AF281" t="s">
        <v>1</v>
      </c>
      <c r="AG281" t="s">
        <v>1</v>
      </c>
      <c r="AH281" t="s">
        <v>1</v>
      </c>
      <c r="AI281" t="s">
        <v>1</v>
      </c>
      <c r="AJ281" t="s">
        <v>1</v>
      </c>
      <c r="AK281" t="s">
        <v>1</v>
      </c>
      <c r="AL281" t="s">
        <v>1</v>
      </c>
      <c r="AM281" t="s">
        <v>1</v>
      </c>
      <c r="AN281">
        <v>249</v>
      </c>
      <c r="AO281">
        <f t="shared" si="36"/>
        <v>249</v>
      </c>
      <c r="AP281">
        <f t="shared" si="40"/>
        <v>43</v>
      </c>
      <c r="AQ281">
        <f t="shared" si="41"/>
        <v>43</v>
      </c>
      <c r="AR281" s="26" t="s">
        <v>1355</v>
      </c>
      <c r="AS281" s="26" t="s">
        <v>1356</v>
      </c>
      <c r="AT281" t="s">
        <v>723</v>
      </c>
      <c r="AU281" t="s">
        <v>1</v>
      </c>
      <c r="AV281" t="s">
        <v>1</v>
      </c>
      <c r="AW281">
        <v>35.33</v>
      </c>
      <c r="AX281">
        <v>51.63</v>
      </c>
      <c r="AY281" t="s">
        <v>737</v>
      </c>
      <c r="BA281" s="3">
        <v>3</v>
      </c>
      <c r="BB281" s="3"/>
      <c r="BC281" s="3"/>
      <c r="BD281" s="3"/>
      <c r="BE281" s="3"/>
      <c r="BF281">
        <v>2003</v>
      </c>
      <c r="BG281" s="24" t="s">
        <v>733</v>
      </c>
      <c r="BH281" s="24" t="s">
        <v>733</v>
      </c>
      <c r="BI281" s="24" t="s">
        <v>733</v>
      </c>
      <c r="BJ281" s="24" t="s">
        <v>732</v>
      </c>
      <c r="BK281" s="24" t="s">
        <v>733</v>
      </c>
      <c r="BL281" s="25" t="s">
        <v>733</v>
      </c>
      <c r="BM281" s="24" t="s">
        <v>733</v>
      </c>
      <c r="BN281" s="24" t="s">
        <v>732</v>
      </c>
      <c r="BO281" s="24" t="s">
        <v>733</v>
      </c>
      <c r="BP281" s="24" t="s">
        <v>733</v>
      </c>
      <c r="BQ281" s="24" t="s">
        <v>945</v>
      </c>
      <c r="BR281" s="24" t="s">
        <v>945</v>
      </c>
      <c r="BS281" s="25" t="s">
        <v>934</v>
      </c>
      <c r="BT281" s="24" t="s">
        <v>934</v>
      </c>
      <c r="BU281" s="24" t="s">
        <v>934</v>
      </c>
      <c r="BV281" s="24" t="s">
        <v>934</v>
      </c>
      <c r="BW281" s="24" t="s">
        <v>934</v>
      </c>
      <c r="BX281" s="24" t="s">
        <v>934</v>
      </c>
      <c r="BY281" s="25" t="s">
        <v>945</v>
      </c>
      <c r="BZ281" t="s">
        <v>5</v>
      </c>
      <c r="CB281" t="s">
        <v>1</v>
      </c>
      <c r="CC281" s="4" t="s">
        <v>1</v>
      </c>
      <c r="CD281" s="4"/>
      <c r="CE281" s="4"/>
      <c r="CF281" t="s">
        <v>1</v>
      </c>
      <c r="CG281" t="s">
        <v>1</v>
      </c>
      <c r="CH281" t="s">
        <v>805</v>
      </c>
      <c r="CI281" s="1">
        <v>0.6</v>
      </c>
      <c r="CJ281" s="9" t="s">
        <v>1</v>
      </c>
      <c r="CK281" s="9" t="s">
        <v>1</v>
      </c>
      <c r="CL281" s="4" t="s">
        <v>1</v>
      </c>
      <c r="CM281" t="s">
        <v>847</v>
      </c>
      <c r="CN281" s="4">
        <v>146.6</v>
      </c>
      <c r="CO281" s="4" t="s">
        <v>1</v>
      </c>
      <c r="CP281" s="4" t="s">
        <v>1</v>
      </c>
      <c r="CQ281" s="4" t="s">
        <v>1</v>
      </c>
      <c r="CR281" s="4" t="s">
        <v>1</v>
      </c>
      <c r="CS281" s="4" t="s">
        <v>1</v>
      </c>
      <c r="CT281" s="4" t="s">
        <v>1</v>
      </c>
      <c r="CU281" s="4" t="s">
        <v>1</v>
      </c>
      <c r="CV281" t="s">
        <v>850</v>
      </c>
      <c r="CW281">
        <v>100</v>
      </c>
      <c r="CX281">
        <v>0</v>
      </c>
      <c r="CY281">
        <v>60</v>
      </c>
      <c r="CZ281" s="26" t="s">
        <v>1358</v>
      </c>
      <c r="DA281" t="s">
        <v>734</v>
      </c>
      <c r="DB281">
        <v>23</v>
      </c>
      <c r="DC281">
        <v>0</v>
      </c>
      <c r="DD281">
        <v>60</v>
      </c>
      <c r="DE281" s="26" t="s">
        <v>1358</v>
      </c>
      <c r="DF281" t="s">
        <v>735</v>
      </c>
      <c r="DG281">
        <v>45</v>
      </c>
      <c r="DH281">
        <v>0</v>
      </c>
      <c r="DI281">
        <v>60</v>
      </c>
      <c r="DJ281" s="26" t="s">
        <v>1358</v>
      </c>
      <c r="DK281" t="s">
        <v>736</v>
      </c>
      <c r="DL281">
        <v>32</v>
      </c>
      <c r="DM281">
        <v>0</v>
      </c>
      <c r="DN281">
        <v>60</v>
      </c>
      <c r="DO281" s="26" t="s">
        <v>1358</v>
      </c>
      <c r="DP281" t="s">
        <v>6</v>
      </c>
      <c r="DQ281" t="s">
        <v>1</v>
      </c>
      <c r="DR281">
        <v>7.2</v>
      </c>
      <c r="DS281">
        <v>0</v>
      </c>
      <c r="DT281">
        <v>60</v>
      </c>
      <c r="DU281" s="26" t="s">
        <v>1358</v>
      </c>
      <c r="EA281" t="s">
        <v>982</v>
      </c>
      <c r="EB281">
        <v>6.2</v>
      </c>
      <c r="EC281">
        <v>0</v>
      </c>
      <c r="ED281">
        <v>60</v>
      </c>
      <c r="EE281" s="26" t="s">
        <v>1358</v>
      </c>
      <c r="EF281" s="26"/>
      <c r="FZ281" t="s">
        <v>806</v>
      </c>
      <c r="GA281">
        <v>0</v>
      </c>
      <c r="GE281" s="26" t="s">
        <v>1358</v>
      </c>
      <c r="HA281" s="5" t="s">
        <v>1</v>
      </c>
      <c r="HB281" s="4" t="s">
        <v>1</v>
      </c>
      <c r="HC281" t="s">
        <v>1</v>
      </c>
      <c r="HD281" t="s">
        <v>1</v>
      </c>
      <c r="HE281" t="s">
        <v>1</v>
      </c>
      <c r="HF281" s="5" t="s">
        <v>1</v>
      </c>
      <c r="HG281" s="4" t="s">
        <v>1</v>
      </c>
      <c r="HH281" t="s">
        <v>1</v>
      </c>
      <c r="HI281" t="s">
        <v>1</v>
      </c>
      <c r="HJ281" t="s">
        <v>1</v>
      </c>
      <c r="HK281" t="s">
        <v>815</v>
      </c>
      <c r="HL281" s="34">
        <v>1.3216666666666668</v>
      </c>
      <c r="HM281">
        <v>0</v>
      </c>
      <c r="HN281">
        <v>60</v>
      </c>
      <c r="HO281" t="s">
        <v>1</v>
      </c>
      <c r="HP281" s="26" t="s">
        <v>1358</v>
      </c>
      <c r="HZ281" t="s">
        <v>969</v>
      </c>
      <c r="IA281">
        <v>150</v>
      </c>
      <c r="IB281" s="10" t="s">
        <v>1</v>
      </c>
      <c r="IC281" s="10"/>
      <c r="ID281" s="10"/>
      <c r="IE281" s="10" t="s">
        <v>1</v>
      </c>
      <c r="IF281" s="10" t="s">
        <v>1</v>
      </c>
      <c r="IG281" s="10"/>
      <c r="IH281" s="10"/>
      <c r="II281" s="10"/>
      <c r="IJ281" s="10"/>
      <c r="IK281" s="10"/>
      <c r="IL281" s="10"/>
      <c r="IM281" s="10"/>
      <c r="IN281" s="10"/>
      <c r="IO281" s="10"/>
      <c r="IP281" s="10"/>
      <c r="IQ281" s="10"/>
      <c r="IR281" s="10"/>
      <c r="IS281" t="s">
        <v>1</v>
      </c>
      <c r="IT281" t="s">
        <v>1</v>
      </c>
      <c r="IW281" t="s">
        <v>1</v>
      </c>
      <c r="IX281" t="s">
        <v>1</v>
      </c>
      <c r="IY281" t="s">
        <v>808</v>
      </c>
      <c r="IZ281">
        <v>7020</v>
      </c>
      <c r="JA281" t="s">
        <v>1</v>
      </c>
      <c r="JB281" s="3" t="s">
        <v>1</v>
      </c>
      <c r="JC281" t="s">
        <v>965</v>
      </c>
      <c r="JD281" s="4">
        <v>41</v>
      </c>
      <c r="JE281" t="s">
        <v>1</v>
      </c>
      <c r="JF281" t="s">
        <v>1</v>
      </c>
      <c r="JR281" t="s">
        <v>1066</v>
      </c>
      <c r="JS281">
        <v>13.7</v>
      </c>
      <c r="JU281" t="s">
        <v>1</v>
      </c>
      <c r="JW281" t="s">
        <v>1</v>
      </c>
      <c r="JX281">
        <v>0</v>
      </c>
      <c r="JY281">
        <v>60</v>
      </c>
      <c r="JZ281" t="s">
        <v>800</v>
      </c>
      <c r="KA281" t="s">
        <v>291</v>
      </c>
      <c r="KB281" t="s">
        <v>738</v>
      </c>
      <c r="KC281" t="s">
        <v>1</v>
      </c>
      <c r="KD281" t="s">
        <v>1</v>
      </c>
      <c r="KE281" s="1" t="s">
        <v>1</v>
      </c>
      <c r="KF281" t="s">
        <v>1</v>
      </c>
      <c r="KG281" t="s">
        <v>1</v>
      </c>
      <c r="KH281" t="s">
        <v>1</v>
      </c>
      <c r="KI281" t="s">
        <v>1</v>
      </c>
      <c r="KJ281" t="s">
        <v>1</v>
      </c>
      <c r="KK281" t="s">
        <v>1</v>
      </c>
    </row>
    <row r="282" spans="1:297" x14ac:dyDescent="0.2">
      <c r="A282">
        <v>250</v>
      </c>
      <c r="B282" t="s">
        <v>705</v>
      </c>
      <c r="C282" t="s">
        <v>301</v>
      </c>
      <c r="D282" t="s">
        <v>293</v>
      </c>
      <c r="E282">
        <v>43</v>
      </c>
      <c r="F282" t="s">
        <v>1329</v>
      </c>
      <c r="G282" t="s">
        <v>1</v>
      </c>
      <c r="H282" s="26" t="s">
        <v>1420</v>
      </c>
      <c r="I282" t="s">
        <v>1</v>
      </c>
      <c r="J282" t="s">
        <v>1</v>
      </c>
      <c r="K282" t="s">
        <v>1</v>
      </c>
      <c r="L282" t="s">
        <v>1</v>
      </c>
      <c r="M282" t="s">
        <v>1</v>
      </c>
      <c r="N282" t="s">
        <v>1</v>
      </c>
      <c r="O282" t="s">
        <v>1</v>
      </c>
      <c r="P282" t="s">
        <v>1</v>
      </c>
      <c r="Q282" t="s">
        <v>1</v>
      </c>
      <c r="R282" t="s">
        <v>1</v>
      </c>
      <c r="S282" t="s">
        <v>1</v>
      </c>
      <c r="T282" t="s">
        <v>1</v>
      </c>
      <c r="U282" t="s">
        <v>1</v>
      </c>
      <c r="V282" t="s">
        <v>1</v>
      </c>
      <c r="W282" t="s">
        <v>1</v>
      </c>
      <c r="X282" t="s">
        <v>1</v>
      </c>
      <c r="Y282" t="s">
        <v>1</v>
      </c>
      <c r="Z282" t="s">
        <v>1</v>
      </c>
      <c r="AA282" t="s">
        <v>1</v>
      </c>
      <c r="AB282" t="s">
        <v>1</v>
      </c>
      <c r="AC282" t="s">
        <v>1</v>
      </c>
      <c r="AD282" t="s">
        <v>1</v>
      </c>
      <c r="AE282" t="s">
        <v>1</v>
      </c>
      <c r="AF282" t="s">
        <v>1</v>
      </c>
      <c r="AG282" t="s">
        <v>1</v>
      </c>
      <c r="AH282" t="s">
        <v>1</v>
      </c>
      <c r="AI282" t="s">
        <v>1</v>
      </c>
      <c r="AJ282" t="s">
        <v>1</v>
      </c>
      <c r="AK282" t="s">
        <v>1</v>
      </c>
      <c r="AL282" t="s">
        <v>1</v>
      </c>
      <c r="AM282" t="s">
        <v>1</v>
      </c>
      <c r="AN282">
        <v>250</v>
      </c>
      <c r="AO282">
        <f t="shared" si="36"/>
        <v>250</v>
      </c>
      <c r="AP282">
        <f t="shared" si="40"/>
        <v>43</v>
      </c>
      <c r="AQ282">
        <f t="shared" si="41"/>
        <v>43</v>
      </c>
      <c r="AR282" s="26" t="s">
        <v>1355</v>
      </c>
      <c r="AS282" s="26" t="s">
        <v>1356</v>
      </c>
      <c r="AT282" t="s">
        <v>723</v>
      </c>
      <c r="AU282" t="s">
        <v>1</v>
      </c>
      <c r="AV282" t="s">
        <v>1</v>
      </c>
      <c r="AW282">
        <v>35.33</v>
      </c>
      <c r="AX282">
        <v>51.63</v>
      </c>
      <c r="AY282" t="s">
        <v>737</v>
      </c>
      <c r="BA282" s="3">
        <v>3</v>
      </c>
      <c r="BB282" s="3"/>
      <c r="BC282" s="3"/>
      <c r="BD282" s="3"/>
      <c r="BE282" s="3"/>
      <c r="BF282">
        <v>2003</v>
      </c>
      <c r="BG282" s="24" t="s">
        <v>733</v>
      </c>
      <c r="BH282" s="24" t="s">
        <v>733</v>
      </c>
      <c r="BI282" s="24" t="s">
        <v>733</v>
      </c>
      <c r="BJ282" s="24" t="s">
        <v>732</v>
      </c>
      <c r="BK282" s="24" t="s">
        <v>733</v>
      </c>
      <c r="BL282" s="25" t="s">
        <v>733</v>
      </c>
      <c r="BM282" s="24" t="s">
        <v>733</v>
      </c>
      <c r="BN282" s="24" t="s">
        <v>732</v>
      </c>
      <c r="BO282" s="24" t="s">
        <v>733</v>
      </c>
      <c r="BP282" s="24" t="s">
        <v>733</v>
      </c>
      <c r="BQ282" s="24" t="s">
        <v>945</v>
      </c>
      <c r="BR282" s="24" t="s">
        <v>945</v>
      </c>
      <c r="BS282" s="25" t="s">
        <v>934</v>
      </c>
      <c r="BT282" s="24" t="s">
        <v>934</v>
      </c>
      <c r="BU282" s="24" t="s">
        <v>934</v>
      </c>
      <c r="BV282" s="24" t="s">
        <v>934</v>
      </c>
      <c r="BW282" s="24" t="s">
        <v>934</v>
      </c>
      <c r="BX282" s="24" t="s">
        <v>934</v>
      </c>
      <c r="BY282" s="25" t="s">
        <v>945</v>
      </c>
      <c r="BZ282" t="s">
        <v>5</v>
      </c>
      <c r="CB282" t="s">
        <v>1</v>
      </c>
      <c r="CC282" s="4" t="s">
        <v>1</v>
      </c>
      <c r="CD282" s="4"/>
      <c r="CE282" s="4"/>
      <c r="CF282" t="s">
        <v>1</v>
      </c>
      <c r="CG282" t="s">
        <v>1</v>
      </c>
      <c r="CH282" t="s">
        <v>805</v>
      </c>
      <c r="CI282" s="1">
        <v>0.6</v>
      </c>
      <c r="CJ282" s="9" t="s">
        <v>1</v>
      </c>
      <c r="CK282" s="9" t="s">
        <v>1</v>
      </c>
      <c r="CL282" s="4" t="s">
        <v>1</v>
      </c>
      <c r="CM282" t="s">
        <v>847</v>
      </c>
      <c r="CN282" s="4">
        <v>151.9</v>
      </c>
      <c r="CO282" s="4" t="s">
        <v>1</v>
      </c>
      <c r="CP282" s="4" t="s">
        <v>1</v>
      </c>
      <c r="CQ282" s="4" t="s">
        <v>1</v>
      </c>
      <c r="CR282" s="4" t="s">
        <v>1</v>
      </c>
      <c r="CS282" s="4" t="s">
        <v>1</v>
      </c>
      <c r="CT282" s="4" t="s">
        <v>1</v>
      </c>
      <c r="CU282" s="4" t="s">
        <v>1</v>
      </c>
      <c r="CV282" t="s">
        <v>850</v>
      </c>
      <c r="CW282">
        <v>100</v>
      </c>
      <c r="CX282">
        <v>0</v>
      </c>
      <c r="CY282">
        <v>60</v>
      </c>
      <c r="CZ282" s="26" t="s">
        <v>1358</v>
      </c>
      <c r="DA282" t="s">
        <v>734</v>
      </c>
      <c r="DB282">
        <v>23</v>
      </c>
      <c r="DC282">
        <v>0</v>
      </c>
      <c r="DD282">
        <v>60</v>
      </c>
      <c r="DE282" s="26" t="s">
        <v>1358</v>
      </c>
      <c r="DF282" t="s">
        <v>735</v>
      </c>
      <c r="DG282">
        <v>45</v>
      </c>
      <c r="DH282">
        <v>0</v>
      </c>
      <c r="DI282">
        <v>60</v>
      </c>
      <c r="DJ282" s="26" t="s">
        <v>1358</v>
      </c>
      <c r="DK282" t="s">
        <v>736</v>
      </c>
      <c r="DL282">
        <v>32</v>
      </c>
      <c r="DM282">
        <v>0</v>
      </c>
      <c r="DN282">
        <v>60</v>
      </c>
      <c r="DO282" s="26" t="s">
        <v>1358</v>
      </c>
      <c r="DP282" t="s">
        <v>6</v>
      </c>
      <c r="DQ282" t="s">
        <v>1</v>
      </c>
      <c r="DR282">
        <v>7.2</v>
      </c>
      <c r="DS282">
        <v>0</v>
      </c>
      <c r="DT282">
        <v>60</v>
      </c>
      <c r="DU282" s="26" t="s">
        <v>1358</v>
      </c>
      <c r="EA282" t="s">
        <v>982</v>
      </c>
      <c r="EB282">
        <v>6.2</v>
      </c>
      <c r="EC282">
        <v>0</v>
      </c>
      <c r="ED282">
        <v>60</v>
      </c>
      <c r="EE282" s="26" t="s">
        <v>1358</v>
      </c>
      <c r="EF282" s="26"/>
      <c r="FZ282" t="s">
        <v>806</v>
      </c>
      <c r="GA282">
        <v>0</v>
      </c>
      <c r="GE282" s="26" t="s">
        <v>1358</v>
      </c>
      <c r="HA282" s="5" t="s">
        <v>1</v>
      </c>
      <c r="HB282" s="4" t="s">
        <v>1</v>
      </c>
      <c r="HC282" t="s">
        <v>1</v>
      </c>
      <c r="HD282" t="s">
        <v>1</v>
      </c>
      <c r="HE282" t="s">
        <v>1</v>
      </c>
      <c r="HF282" s="5" t="s">
        <v>1</v>
      </c>
      <c r="HG282" s="4" t="s">
        <v>1</v>
      </c>
      <c r="HH282" t="s">
        <v>1</v>
      </c>
      <c r="HI282" t="s">
        <v>1</v>
      </c>
      <c r="HJ282" t="s">
        <v>1</v>
      </c>
      <c r="HK282" t="s">
        <v>815</v>
      </c>
      <c r="HL282" s="34">
        <v>1.3216666666666668</v>
      </c>
      <c r="HM282">
        <v>0</v>
      </c>
      <c r="HN282">
        <v>60</v>
      </c>
      <c r="HO282" t="s">
        <v>1</v>
      </c>
      <c r="HP282" s="26" t="s">
        <v>1358</v>
      </c>
      <c r="HZ282" t="s">
        <v>969</v>
      </c>
      <c r="IA282">
        <v>150</v>
      </c>
      <c r="IB282" s="10" t="s">
        <v>1</v>
      </c>
      <c r="IC282" s="10"/>
      <c r="ID282" s="10"/>
      <c r="IE282" s="10" t="s">
        <v>1</v>
      </c>
      <c r="IF282" s="10" t="s">
        <v>1</v>
      </c>
      <c r="IG282" s="10"/>
      <c r="IH282" s="10"/>
      <c r="II282" s="10"/>
      <c r="IJ282" s="10"/>
      <c r="IK282" s="10"/>
      <c r="IL282" s="10"/>
      <c r="IM282" s="10"/>
      <c r="IN282" s="10"/>
      <c r="IO282" s="10"/>
      <c r="IP282" s="10"/>
      <c r="IQ282" s="10"/>
      <c r="IR282" s="10"/>
      <c r="IS282" t="s">
        <v>1</v>
      </c>
      <c r="IT282" t="s">
        <v>1</v>
      </c>
      <c r="IW282" t="s">
        <v>1</v>
      </c>
      <c r="IX282" t="s">
        <v>1</v>
      </c>
      <c r="IY282" t="s">
        <v>808</v>
      </c>
      <c r="IZ282">
        <v>7660</v>
      </c>
      <c r="JA282" t="s">
        <v>1</v>
      </c>
      <c r="JB282" s="3" t="s">
        <v>1</v>
      </c>
      <c r="JC282" t="s">
        <v>965</v>
      </c>
      <c r="JD282" s="4">
        <v>44</v>
      </c>
      <c r="JE282" t="s">
        <v>1</v>
      </c>
      <c r="JF282" t="s">
        <v>1</v>
      </c>
      <c r="JR282" t="s">
        <v>1066</v>
      </c>
      <c r="JS282">
        <v>37.200000000000003</v>
      </c>
      <c r="JU282" t="s">
        <v>1</v>
      </c>
      <c r="JW282" t="s">
        <v>1</v>
      </c>
      <c r="JX282">
        <v>0</v>
      </c>
      <c r="JY282">
        <v>60</v>
      </c>
      <c r="JZ282" t="s">
        <v>800</v>
      </c>
      <c r="KA282" t="s">
        <v>291</v>
      </c>
      <c r="KB282" t="s">
        <v>738</v>
      </c>
      <c r="KC282" t="s">
        <v>1</v>
      </c>
      <c r="KD282" t="s">
        <v>1</v>
      </c>
      <c r="KE282" s="1" t="s">
        <v>1</v>
      </c>
      <c r="KF282" t="s">
        <v>1</v>
      </c>
      <c r="KG282" t="s">
        <v>1</v>
      </c>
      <c r="KH282" t="s">
        <v>1</v>
      </c>
      <c r="KI282" t="s">
        <v>1</v>
      </c>
      <c r="KJ282" t="s">
        <v>1</v>
      </c>
      <c r="KK282" t="s">
        <v>1</v>
      </c>
    </row>
    <row r="283" spans="1:297" x14ac:dyDescent="0.2">
      <c r="A283">
        <v>251</v>
      </c>
      <c r="B283" t="s">
        <v>705</v>
      </c>
      <c r="C283" t="s">
        <v>302</v>
      </c>
      <c r="D283" t="s">
        <v>293</v>
      </c>
      <c r="E283">
        <v>43</v>
      </c>
      <c r="F283" t="s">
        <v>1329</v>
      </c>
      <c r="G283" t="s">
        <v>1</v>
      </c>
      <c r="H283" s="26" t="s">
        <v>1420</v>
      </c>
      <c r="I283" t="s">
        <v>1</v>
      </c>
      <c r="J283" t="s">
        <v>1</v>
      </c>
      <c r="K283" t="s">
        <v>1</v>
      </c>
      <c r="L283" t="s">
        <v>1</v>
      </c>
      <c r="M283" t="s">
        <v>1</v>
      </c>
      <c r="N283" t="s">
        <v>1</v>
      </c>
      <c r="O283" t="s">
        <v>1</v>
      </c>
      <c r="P283" t="s">
        <v>1</v>
      </c>
      <c r="Q283" t="s">
        <v>1</v>
      </c>
      <c r="R283" t="s">
        <v>1</v>
      </c>
      <c r="S283" t="s">
        <v>1</v>
      </c>
      <c r="T283" t="s">
        <v>1</v>
      </c>
      <c r="U283" t="s">
        <v>1</v>
      </c>
      <c r="V283" t="s">
        <v>1</v>
      </c>
      <c r="W283" t="s">
        <v>1</v>
      </c>
      <c r="X283" t="s">
        <v>1</v>
      </c>
      <c r="Y283" t="s">
        <v>1</v>
      </c>
      <c r="Z283" t="s">
        <v>1</v>
      </c>
      <c r="AA283" t="s">
        <v>1</v>
      </c>
      <c r="AB283" t="s">
        <v>1</v>
      </c>
      <c r="AC283" t="s">
        <v>1</v>
      </c>
      <c r="AD283" t="s">
        <v>1</v>
      </c>
      <c r="AE283" t="s">
        <v>1</v>
      </c>
      <c r="AF283" t="s">
        <v>1</v>
      </c>
      <c r="AG283" t="s">
        <v>1</v>
      </c>
      <c r="AH283" t="s">
        <v>1</v>
      </c>
      <c r="AI283" t="s">
        <v>1</v>
      </c>
      <c r="AJ283" t="s">
        <v>1</v>
      </c>
      <c r="AK283" t="s">
        <v>1</v>
      </c>
      <c r="AL283" t="s">
        <v>1</v>
      </c>
      <c r="AM283" t="s">
        <v>1</v>
      </c>
      <c r="AN283">
        <v>251</v>
      </c>
      <c r="AO283">
        <f t="shared" si="36"/>
        <v>251</v>
      </c>
      <c r="AP283">
        <f t="shared" si="40"/>
        <v>43</v>
      </c>
      <c r="AQ283">
        <f t="shared" si="41"/>
        <v>43</v>
      </c>
      <c r="AR283" s="26" t="s">
        <v>1355</v>
      </c>
      <c r="AS283" s="26" t="s">
        <v>1356</v>
      </c>
      <c r="AT283" t="s">
        <v>723</v>
      </c>
      <c r="AU283" t="s">
        <v>1</v>
      </c>
      <c r="AV283" t="s">
        <v>1</v>
      </c>
      <c r="AW283">
        <v>35.33</v>
      </c>
      <c r="AX283">
        <v>51.63</v>
      </c>
      <c r="AY283" t="s">
        <v>737</v>
      </c>
      <c r="BA283" s="3">
        <v>3</v>
      </c>
      <c r="BB283" s="3"/>
      <c r="BC283" s="3"/>
      <c r="BD283" s="3"/>
      <c r="BE283" s="3"/>
      <c r="BF283">
        <v>2003</v>
      </c>
      <c r="BG283" s="24" t="s">
        <v>733</v>
      </c>
      <c r="BH283" s="24" t="s">
        <v>733</v>
      </c>
      <c r="BI283" s="24" t="s">
        <v>733</v>
      </c>
      <c r="BJ283" s="24" t="s">
        <v>732</v>
      </c>
      <c r="BK283" s="24" t="s">
        <v>733</v>
      </c>
      <c r="BL283" s="25" t="s">
        <v>733</v>
      </c>
      <c r="BM283" s="24" t="s">
        <v>733</v>
      </c>
      <c r="BN283" s="24" t="s">
        <v>732</v>
      </c>
      <c r="BO283" s="24" t="s">
        <v>733</v>
      </c>
      <c r="BP283" s="24" t="s">
        <v>733</v>
      </c>
      <c r="BQ283" s="24" t="s">
        <v>945</v>
      </c>
      <c r="BR283" s="24" t="s">
        <v>945</v>
      </c>
      <c r="BS283" s="25" t="s">
        <v>934</v>
      </c>
      <c r="BT283" s="24" t="s">
        <v>934</v>
      </c>
      <c r="BU283" s="24" t="s">
        <v>934</v>
      </c>
      <c r="BV283" s="24" t="s">
        <v>934</v>
      </c>
      <c r="BW283" s="24" t="s">
        <v>934</v>
      </c>
      <c r="BX283" s="24" t="s">
        <v>934</v>
      </c>
      <c r="BY283" s="25" t="s">
        <v>945</v>
      </c>
      <c r="BZ283" t="s">
        <v>5</v>
      </c>
      <c r="CB283" t="s">
        <v>1</v>
      </c>
      <c r="CC283" s="4" t="s">
        <v>1</v>
      </c>
      <c r="CD283" s="4"/>
      <c r="CE283" s="4"/>
      <c r="CF283" t="s">
        <v>1</v>
      </c>
      <c r="CG283" t="s">
        <v>1</v>
      </c>
      <c r="CH283" t="s">
        <v>805</v>
      </c>
      <c r="CI283" s="1">
        <v>0.6</v>
      </c>
      <c r="CJ283" s="9" t="s">
        <v>1</v>
      </c>
      <c r="CK283" s="9" t="s">
        <v>1</v>
      </c>
      <c r="CL283" s="4" t="s">
        <v>1</v>
      </c>
      <c r="CM283" t="s">
        <v>847</v>
      </c>
      <c r="CN283" s="4">
        <v>98.7</v>
      </c>
      <c r="CO283" s="4" t="s">
        <v>1</v>
      </c>
      <c r="CP283" s="4" t="s">
        <v>1</v>
      </c>
      <c r="CQ283" s="4" t="s">
        <v>1</v>
      </c>
      <c r="CR283" s="4" t="s">
        <v>1</v>
      </c>
      <c r="CS283" s="4" t="s">
        <v>1</v>
      </c>
      <c r="CT283" s="4" t="s">
        <v>1</v>
      </c>
      <c r="CU283" s="4" t="s">
        <v>1</v>
      </c>
      <c r="CV283" t="s">
        <v>850</v>
      </c>
      <c r="CW283">
        <v>100</v>
      </c>
      <c r="CX283">
        <v>0</v>
      </c>
      <c r="CY283">
        <v>60</v>
      </c>
      <c r="CZ283" s="26" t="s">
        <v>1358</v>
      </c>
      <c r="DA283" t="s">
        <v>734</v>
      </c>
      <c r="DB283">
        <v>23</v>
      </c>
      <c r="DC283">
        <v>0</v>
      </c>
      <c r="DD283">
        <v>60</v>
      </c>
      <c r="DE283" s="26" t="s">
        <v>1358</v>
      </c>
      <c r="DF283" t="s">
        <v>735</v>
      </c>
      <c r="DG283">
        <v>45</v>
      </c>
      <c r="DH283">
        <v>0</v>
      </c>
      <c r="DI283">
        <v>60</v>
      </c>
      <c r="DJ283" s="26" t="s">
        <v>1358</v>
      </c>
      <c r="DK283" t="s">
        <v>736</v>
      </c>
      <c r="DL283">
        <v>32</v>
      </c>
      <c r="DM283">
        <v>0</v>
      </c>
      <c r="DN283">
        <v>60</v>
      </c>
      <c r="DO283" s="26" t="s">
        <v>1358</v>
      </c>
      <c r="DP283" t="s">
        <v>6</v>
      </c>
      <c r="DQ283" t="s">
        <v>1</v>
      </c>
      <c r="DR283">
        <v>7.2</v>
      </c>
      <c r="DS283">
        <v>0</v>
      </c>
      <c r="DT283">
        <v>60</v>
      </c>
      <c r="DU283" s="26" t="s">
        <v>1358</v>
      </c>
      <c r="EA283" t="s">
        <v>982</v>
      </c>
      <c r="EB283">
        <v>6.2</v>
      </c>
      <c r="EC283">
        <v>0</v>
      </c>
      <c r="ED283">
        <v>60</v>
      </c>
      <c r="EE283" s="26" t="s">
        <v>1358</v>
      </c>
      <c r="EF283" s="26"/>
      <c r="FZ283" t="s">
        <v>806</v>
      </c>
      <c r="GA283">
        <v>0</v>
      </c>
      <c r="GE283" s="26" t="s">
        <v>1358</v>
      </c>
      <c r="HA283" s="5" t="s">
        <v>1</v>
      </c>
      <c r="HB283" s="4" t="s">
        <v>1</v>
      </c>
      <c r="HC283" t="s">
        <v>1</v>
      </c>
      <c r="HD283" t="s">
        <v>1</v>
      </c>
      <c r="HE283" t="s">
        <v>1</v>
      </c>
      <c r="HF283" s="5" t="s">
        <v>1</v>
      </c>
      <c r="HG283" s="4" t="s">
        <v>1</v>
      </c>
      <c r="HH283" t="s">
        <v>1</v>
      </c>
      <c r="HI283" t="s">
        <v>1</v>
      </c>
      <c r="HJ283" t="s">
        <v>1</v>
      </c>
      <c r="HK283" t="s">
        <v>815</v>
      </c>
      <c r="HL283" s="34">
        <v>1.3216666666666668</v>
      </c>
      <c r="HM283">
        <v>0</v>
      </c>
      <c r="HN283">
        <v>60</v>
      </c>
      <c r="HO283" t="s">
        <v>1</v>
      </c>
      <c r="HP283" s="26" t="s">
        <v>1358</v>
      </c>
      <c r="HZ283" t="s">
        <v>969</v>
      </c>
      <c r="IA283">
        <v>200</v>
      </c>
      <c r="IB283" s="10" t="s">
        <v>1</v>
      </c>
      <c r="IC283" s="10"/>
      <c r="ID283" s="10"/>
      <c r="IE283" s="10" t="s">
        <v>1</v>
      </c>
      <c r="IF283" s="10" t="s">
        <v>1</v>
      </c>
      <c r="IG283" s="10"/>
      <c r="IH283" s="10"/>
      <c r="II283" s="10"/>
      <c r="IJ283" s="10"/>
      <c r="IK283" s="10"/>
      <c r="IL283" s="10"/>
      <c r="IM283" s="10"/>
      <c r="IN283" s="10"/>
      <c r="IO283" s="10"/>
      <c r="IP283" s="10"/>
      <c r="IQ283" s="10"/>
      <c r="IR283" s="10"/>
      <c r="IS283" t="s">
        <v>1</v>
      </c>
      <c r="IT283" t="s">
        <v>1</v>
      </c>
      <c r="IW283" t="s">
        <v>1</v>
      </c>
      <c r="IX283" t="s">
        <v>1</v>
      </c>
      <c r="IY283" t="s">
        <v>808</v>
      </c>
      <c r="IZ283">
        <v>5670</v>
      </c>
      <c r="JA283" t="s">
        <v>1</v>
      </c>
      <c r="JB283" s="3" t="s">
        <v>1</v>
      </c>
      <c r="JC283" t="s">
        <v>965</v>
      </c>
      <c r="JD283" s="4">
        <v>33</v>
      </c>
      <c r="JE283" t="s">
        <v>1</v>
      </c>
      <c r="JF283" t="s">
        <v>1</v>
      </c>
      <c r="JR283" t="s">
        <v>1066</v>
      </c>
      <c r="JS283">
        <v>0</v>
      </c>
      <c r="JU283" t="s">
        <v>1</v>
      </c>
      <c r="JW283" t="s">
        <v>1</v>
      </c>
      <c r="JX283">
        <v>0</v>
      </c>
      <c r="JY283">
        <v>60</v>
      </c>
      <c r="JZ283" t="s">
        <v>800</v>
      </c>
      <c r="KA283" t="s">
        <v>291</v>
      </c>
      <c r="KB283" t="s">
        <v>738</v>
      </c>
      <c r="KC283" t="s">
        <v>1</v>
      </c>
      <c r="KD283" t="s">
        <v>1</v>
      </c>
      <c r="KE283" s="1" t="s">
        <v>1</v>
      </c>
      <c r="KF283" t="s">
        <v>1</v>
      </c>
      <c r="KG283" t="s">
        <v>1</v>
      </c>
      <c r="KH283" t="s">
        <v>1</v>
      </c>
      <c r="KI283" t="s">
        <v>1</v>
      </c>
      <c r="KJ283" t="s">
        <v>1</v>
      </c>
      <c r="KK283" t="s">
        <v>1</v>
      </c>
    </row>
    <row r="284" spans="1:297" x14ac:dyDescent="0.2">
      <c r="A284">
        <v>252</v>
      </c>
      <c r="B284" t="s">
        <v>705</v>
      </c>
      <c r="C284" t="s">
        <v>303</v>
      </c>
      <c r="D284" t="s">
        <v>293</v>
      </c>
      <c r="E284">
        <v>43</v>
      </c>
      <c r="F284" t="s">
        <v>1329</v>
      </c>
      <c r="G284" t="s">
        <v>1</v>
      </c>
      <c r="H284" s="26" t="s">
        <v>1420</v>
      </c>
      <c r="I284" t="s">
        <v>1</v>
      </c>
      <c r="J284" t="s">
        <v>1</v>
      </c>
      <c r="K284" t="s">
        <v>1</v>
      </c>
      <c r="L284" t="s">
        <v>1</v>
      </c>
      <c r="M284" t="s">
        <v>1</v>
      </c>
      <c r="N284" t="s">
        <v>1</v>
      </c>
      <c r="O284" t="s">
        <v>1</v>
      </c>
      <c r="P284" t="s">
        <v>1</v>
      </c>
      <c r="Q284" t="s">
        <v>1</v>
      </c>
      <c r="R284" t="s">
        <v>1</v>
      </c>
      <c r="S284" t="s">
        <v>1</v>
      </c>
      <c r="T284" t="s">
        <v>1</v>
      </c>
      <c r="U284" t="s">
        <v>1</v>
      </c>
      <c r="V284" t="s">
        <v>1</v>
      </c>
      <c r="W284" t="s">
        <v>1</v>
      </c>
      <c r="X284" t="s">
        <v>1</v>
      </c>
      <c r="Y284" t="s">
        <v>1</v>
      </c>
      <c r="Z284" t="s">
        <v>1</v>
      </c>
      <c r="AA284" t="s">
        <v>1</v>
      </c>
      <c r="AB284" t="s">
        <v>1</v>
      </c>
      <c r="AC284" t="s">
        <v>1</v>
      </c>
      <c r="AD284" t="s">
        <v>1</v>
      </c>
      <c r="AE284" t="s">
        <v>1</v>
      </c>
      <c r="AF284" t="s">
        <v>1</v>
      </c>
      <c r="AG284" t="s">
        <v>1</v>
      </c>
      <c r="AH284" t="s">
        <v>1</v>
      </c>
      <c r="AI284" t="s">
        <v>1</v>
      </c>
      <c r="AJ284" t="s">
        <v>1</v>
      </c>
      <c r="AK284" t="s">
        <v>1</v>
      </c>
      <c r="AL284" t="s">
        <v>1</v>
      </c>
      <c r="AM284" t="s">
        <v>1</v>
      </c>
      <c r="AN284">
        <v>252</v>
      </c>
      <c r="AO284">
        <f t="shared" si="36"/>
        <v>252</v>
      </c>
      <c r="AP284">
        <f t="shared" si="40"/>
        <v>43</v>
      </c>
      <c r="AQ284">
        <f t="shared" si="41"/>
        <v>43</v>
      </c>
      <c r="AR284" s="26" t="s">
        <v>1355</v>
      </c>
      <c r="AS284" s="26" t="s">
        <v>1356</v>
      </c>
      <c r="AT284" t="s">
        <v>723</v>
      </c>
      <c r="AU284" t="s">
        <v>1</v>
      </c>
      <c r="AV284" t="s">
        <v>1</v>
      </c>
      <c r="AW284">
        <v>35.33</v>
      </c>
      <c r="AX284">
        <v>51.63</v>
      </c>
      <c r="AY284" t="s">
        <v>737</v>
      </c>
      <c r="BA284" s="3">
        <v>3</v>
      </c>
      <c r="BB284" s="3"/>
      <c r="BC284" s="3"/>
      <c r="BD284" s="3"/>
      <c r="BE284" s="3"/>
      <c r="BF284">
        <v>2003</v>
      </c>
      <c r="BG284" s="24" t="s">
        <v>733</v>
      </c>
      <c r="BH284" s="24" t="s">
        <v>733</v>
      </c>
      <c r="BI284" s="24" t="s">
        <v>733</v>
      </c>
      <c r="BJ284" s="24" t="s">
        <v>732</v>
      </c>
      <c r="BK284" s="24" t="s">
        <v>733</v>
      </c>
      <c r="BL284" s="25" t="s">
        <v>733</v>
      </c>
      <c r="BM284" s="24" t="s">
        <v>733</v>
      </c>
      <c r="BN284" s="24" t="s">
        <v>732</v>
      </c>
      <c r="BO284" s="24" t="s">
        <v>733</v>
      </c>
      <c r="BP284" s="24" t="s">
        <v>733</v>
      </c>
      <c r="BQ284" s="24" t="s">
        <v>945</v>
      </c>
      <c r="BR284" s="24" t="s">
        <v>945</v>
      </c>
      <c r="BS284" s="25" t="s">
        <v>934</v>
      </c>
      <c r="BT284" s="24" t="s">
        <v>934</v>
      </c>
      <c r="BU284" s="24" t="s">
        <v>934</v>
      </c>
      <c r="BV284" s="24" t="s">
        <v>934</v>
      </c>
      <c r="BW284" s="24" t="s">
        <v>934</v>
      </c>
      <c r="BX284" s="24" t="s">
        <v>934</v>
      </c>
      <c r="BY284" s="25" t="s">
        <v>945</v>
      </c>
      <c r="BZ284" t="s">
        <v>5</v>
      </c>
      <c r="CB284" t="s">
        <v>1</v>
      </c>
      <c r="CC284" s="4" t="s">
        <v>1</v>
      </c>
      <c r="CD284" s="4"/>
      <c r="CE284" s="4"/>
      <c r="CF284" t="s">
        <v>1</v>
      </c>
      <c r="CG284" t="s">
        <v>1</v>
      </c>
      <c r="CH284" t="s">
        <v>805</v>
      </c>
      <c r="CI284" s="1">
        <v>0.6</v>
      </c>
      <c r="CJ284" s="9" t="s">
        <v>1</v>
      </c>
      <c r="CK284" s="9" t="s">
        <v>1</v>
      </c>
      <c r="CL284" s="4" t="s">
        <v>1</v>
      </c>
      <c r="CM284" t="s">
        <v>847</v>
      </c>
      <c r="CN284" s="4">
        <v>120.6</v>
      </c>
      <c r="CO284" s="4" t="s">
        <v>1</v>
      </c>
      <c r="CP284" s="4" t="s">
        <v>1</v>
      </c>
      <c r="CQ284" s="4" t="s">
        <v>1</v>
      </c>
      <c r="CR284" s="4" t="s">
        <v>1</v>
      </c>
      <c r="CS284" s="4" t="s">
        <v>1</v>
      </c>
      <c r="CT284" s="4" t="s">
        <v>1</v>
      </c>
      <c r="CU284" s="4" t="s">
        <v>1</v>
      </c>
      <c r="CV284" t="s">
        <v>850</v>
      </c>
      <c r="CW284">
        <v>100</v>
      </c>
      <c r="CX284">
        <v>0</v>
      </c>
      <c r="CY284">
        <v>60</v>
      </c>
      <c r="CZ284" s="26" t="s">
        <v>1358</v>
      </c>
      <c r="DA284" t="s">
        <v>734</v>
      </c>
      <c r="DB284">
        <v>23</v>
      </c>
      <c r="DC284">
        <v>0</v>
      </c>
      <c r="DD284">
        <v>60</v>
      </c>
      <c r="DE284" s="26" t="s">
        <v>1358</v>
      </c>
      <c r="DF284" t="s">
        <v>735</v>
      </c>
      <c r="DG284">
        <v>45</v>
      </c>
      <c r="DH284">
        <v>0</v>
      </c>
      <c r="DI284">
        <v>60</v>
      </c>
      <c r="DJ284" s="26" t="s">
        <v>1358</v>
      </c>
      <c r="DK284" t="s">
        <v>736</v>
      </c>
      <c r="DL284">
        <v>32</v>
      </c>
      <c r="DM284">
        <v>0</v>
      </c>
      <c r="DN284">
        <v>60</v>
      </c>
      <c r="DO284" s="26" t="s">
        <v>1358</v>
      </c>
      <c r="DP284" t="s">
        <v>6</v>
      </c>
      <c r="DQ284" t="s">
        <v>1</v>
      </c>
      <c r="DR284">
        <v>7.2</v>
      </c>
      <c r="DS284">
        <v>0</v>
      </c>
      <c r="DT284">
        <v>60</v>
      </c>
      <c r="DU284" s="26" t="s">
        <v>1358</v>
      </c>
      <c r="EA284" t="s">
        <v>982</v>
      </c>
      <c r="EB284">
        <v>6.2</v>
      </c>
      <c r="EC284">
        <v>0</v>
      </c>
      <c r="ED284">
        <v>60</v>
      </c>
      <c r="EE284" s="26" t="s">
        <v>1358</v>
      </c>
      <c r="EF284" s="26"/>
      <c r="FZ284" t="s">
        <v>806</v>
      </c>
      <c r="GA284">
        <v>0</v>
      </c>
      <c r="GE284" s="26" t="s">
        <v>1358</v>
      </c>
      <c r="HA284" s="5" t="s">
        <v>1</v>
      </c>
      <c r="HB284" s="4" t="s">
        <v>1</v>
      </c>
      <c r="HC284" t="s">
        <v>1</v>
      </c>
      <c r="HD284" t="s">
        <v>1</v>
      </c>
      <c r="HE284" t="s">
        <v>1</v>
      </c>
      <c r="HF284" s="5" t="s">
        <v>1</v>
      </c>
      <c r="HG284" s="4" t="s">
        <v>1</v>
      </c>
      <c r="HH284" t="s">
        <v>1</v>
      </c>
      <c r="HI284" t="s">
        <v>1</v>
      </c>
      <c r="HJ284" t="s">
        <v>1</v>
      </c>
      <c r="HK284" t="s">
        <v>815</v>
      </c>
      <c r="HL284" s="34">
        <v>1.3216666666666668</v>
      </c>
      <c r="HM284">
        <v>0</v>
      </c>
      <c r="HN284">
        <v>60</v>
      </c>
      <c r="HO284" t="s">
        <v>1</v>
      </c>
      <c r="HP284" s="26" t="s">
        <v>1358</v>
      </c>
      <c r="HZ284" t="s">
        <v>969</v>
      </c>
      <c r="IA284">
        <v>200</v>
      </c>
      <c r="IB284" s="10" t="s">
        <v>1</v>
      </c>
      <c r="IC284" s="10"/>
      <c r="ID284" s="10"/>
      <c r="IE284" s="10" t="s">
        <v>1</v>
      </c>
      <c r="IF284" s="10" t="s">
        <v>1</v>
      </c>
      <c r="IG284" s="10"/>
      <c r="IH284" s="10"/>
      <c r="II284" s="10"/>
      <c r="IJ284" s="10"/>
      <c r="IK284" s="10"/>
      <c r="IL284" s="10"/>
      <c r="IM284" s="10"/>
      <c r="IN284" s="10"/>
      <c r="IO284" s="10"/>
      <c r="IP284" s="10"/>
      <c r="IQ284" s="10"/>
      <c r="IR284" s="10"/>
      <c r="IS284" t="s">
        <v>1</v>
      </c>
      <c r="IT284" t="s">
        <v>1</v>
      </c>
      <c r="IW284" t="s">
        <v>1</v>
      </c>
      <c r="IX284" t="s">
        <v>1</v>
      </c>
      <c r="IY284" t="s">
        <v>808</v>
      </c>
      <c r="IZ284">
        <v>6350</v>
      </c>
      <c r="JA284" t="s">
        <v>1</v>
      </c>
      <c r="JB284" s="3" t="s">
        <v>1</v>
      </c>
      <c r="JC284" t="s">
        <v>965</v>
      </c>
      <c r="JD284" s="4">
        <v>37</v>
      </c>
      <c r="JE284" t="s">
        <v>1</v>
      </c>
      <c r="JF284" t="s">
        <v>1</v>
      </c>
      <c r="JR284" t="s">
        <v>1066</v>
      </c>
      <c r="JS284">
        <v>0</v>
      </c>
      <c r="JU284" t="s">
        <v>1</v>
      </c>
      <c r="JW284" t="s">
        <v>1</v>
      </c>
      <c r="JX284">
        <v>0</v>
      </c>
      <c r="JY284">
        <v>60</v>
      </c>
      <c r="JZ284" t="s">
        <v>800</v>
      </c>
      <c r="KA284" t="s">
        <v>291</v>
      </c>
      <c r="KB284" t="s">
        <v>738</v>
      </c>
      <c r="KC284" t="s">
        <v>1</v>
      </c>
      <c r="KD284" t="s">
        <v>1</v>
      </c>
      <c r="KE284" s="1" t="s">
        <v>1</v>
      </c>
      <c r="KF284" t="s">
        <v>1</v>
      </c>
      <c r="KG284" t="s">
        <v>1</v>
      </c>
      <c r="KH284" t="s">
        <v>1</v>
      </c>
      <c r="KI284" t="s">
        <v>1</v>
      </c>
      <c r="KJ284" t="s">
        <v>1</v>
      </c>
      <c r="KK284" t="s">
        <v>1</v>
      </c>
    </row>
    <row r="285" spans="1:297" x14ac:dyDescent="0.2">
      <c r="A285">
        <v>253</v>
      </c>
      <c r="B285" t="s">
        <v>705</v>
      </c>
      <c r="C285" t="s">
        <v>304</v>
      </c>
      <c r="D285" t="s">
        <v>293</v>
      </c>
      <c r="E285">
        <v>43</v>
      </c>
      <c r="F285" t="s">
        <v>1329</v>
      </c>
      <c r="G285" t="s">
        <v>1</v>
      </c>
      <c r="H285" s="26" t="s">
        <v>1420</v>
      </c>
      <c r="I285" t="s">
        <v>1</v>
      </c>
      <c r="J285" t="s">
        <v>1</v>
      </c>
      <c r="K285" t="s">
        <v>1</v>
      </c>
      <c r="L285" t="s">
        <v>1</v>
      </c>
      <c r="M285" t="s">
        <v>1</v>
      </c>
      <c r="N285" t="s">
        <v>1</v>
      </c>
      <c r="O285" t="s">
        <v>1</v>
      </c>
      <c r="P285" t="s">
        <v>1</v>
      </c>
      <c r="Q285" t="s">
        <v>1</v>
      </c>
      <c r="R285" t="s">
        <v>1</v>
      </c>
      <c r="S285" t="s">
        <v>1</v>
      </c>
      <c r="T285" t="s">
        <v>1</v>
      </c>
      <c r="U285" t="s">
        <v>1</v>
      </c>
      <c r="V285" t="s">
        <v>1</v>
      </c>
      <c r="W285" t="s">
        <v>1</v>
      </c>
      <c r="X285" t="s">
        <v>1</v>
      </c>
      <c r="Y285" t="s">
        <v>1</v>
      </c>
      <c r="Z285" t="s">
        <v>1</v>
      </c>
      <c r="AA285" t="s">
        <v>1</v>
      </c>
      <c r="AB285" t="s">
        <v>1</v>
      </c>
      <c r="AC285" t="s">
        <v>1</v>
      </c>
      <c r="AD285" t="s">
        <v>1</v>
      </c>
      <c r="AE285" t="s">
        <v>1</v>
      </c>
      <c r="AF285" t="s">
        <v>1</v>
      </c>
      <c r="AG285" t="s">
        <v>1</v>
      </c>
      <c r="AH285" t="s">
        <v>1</v>
      </c>
      <c r="AI285" t="s">
        <v>1</v>
      </c>
      <c r="AJ285" t="s">
        <v>1</v>
      </c>
      <c r="AK285" t="s">
        <v>1</v>
      </c>
      <c r="AL285" t="s">
        <v>1</v>
      </c>
      <c r="AM285" t="s">
        <v>1</v>
      </c>
      <c r="AN285">
        <v>253</v>
      </c>
      <c r="AO285">
        <f t="shared" si="36"/>
        <v>253</v>
      </c>
      <c r="AP285">
        <f t="shared" si="40"/>
        <v>43</v>
      </c>
      <c r="AQ285">
        <f t="shared" si="41"/>
        <v>43</v>
      </c>
      <c r="AR285" s="26" t="s">
        <v>1355</v>
      </c>
      <c r="AS285" s="26" t="s">
        <v>1356</v>
      </c>
      <c r="AT285" t="s">
        <v>723</v>
      </c>
      <c r="AU285" t="s">
        <v>1</v>
      </c>
      <c r="AV285" t="s">
        <v>1</v>
      </c>
      <c r="AW285">
        <v>35.33</v>
      </c>
      <c r="AX285">
        <v>51.63</v>
      </c>
      <c r="AY285" t="s">
        <v>737</v>
      </c>
      <c r="BA285" s="3">
        <v>3</v>
      </c>
      <c r="BB285" s="3"/>
      <c r="BC285" s="3"/>
      <c r="BD285" s="3"/>
      <c r="BE285" s="3"/>
      <c r="BF285">
        <v>2003</v>
      </c>
      <c r="BG285" s="24" t="s">
        <v>733</v>
      </c>
      <c r="BH285" s="24" t="s">
        <v>733</v>
      </c>
      <c r="BI285" s="24" t="s">
        <v>733</v>
      </c>
      <c r="BJ285" s="24" t="s">
        <v>732</v>
      </c>
      <c r="BK285" s="24" t="s">
        <v>733</v>
      </c>
      <c r="BL285" s="25" t="s">
        <v>733</v>
      </c>
      <c r="BM285" s="24" t="s">
        <v>733</v>
      </c>
      <c r="BN285" s="24" t="s">
        <v>732</v>
      </c>
      <c r="BO285" s="24" t="s">
        <v>733</v>
      </c>
      <c r="BP285" s="24" t="s">
        <v>733</v>
      </c>
      <c r="BQ285" s="24" t="s">
        <v>945</v>
      </c>
      <c r="BR285" s="24" t="s">
        <v>945</v>
      </c>
      <c r="BS285" s="25" t="s">
        <v>934</v>
      </c>
      <c r="BT285" s="24" t="s">
        <v>934</v>
      </c>
      <c r="BU285" s="24" t="s">
        <v>934</v>
      </c>
      <c r="BV285" s="24" t="s">
        <v>934</v>
      </c>
      <c r="BW285" s="24" t="s">
        <v>934</v>
      </c>
      <c r="BX285" s="24" t="s">
        <v>934</v>
      </c>
      <c r="BY285" s="25" t="s">
        <v>945</v>
      </c>
      <c r="BZ285" t="s">
        <v>5</v>
      </c>
      <c r="CB285" t="s">
        <v>1</v>
      </c>
      <c r="CC285" s="4" t="s">
        <v>1</v>
      </c>
      <c r="CD285" s="4"/>
      <c r="CE285" s="4"/>
      <c r="CF285" t="s">
        <v>1</v>
      </c>
      <c r="CG285" t="s">
        <v>1</v>
      </c>
      <c r="CH285" t="s">
        <v>805</v>
      </c>
      <c r="CI285" s="1">
        <v>0.6</v>
      </c>
      <c r="CJ285" s="9" t="s">
        <v>1</v>
      </c>
      <c r="CK285" s="9" t="s">
        <v>1</v>
      </c>
      <c r="CL285" s="4" t="s">
        <v>1</v>
      </c>
      <c r="CM285" t="s">
        <v>847</v>
      </c>
      <c r="CN285" s="4">
        <v>160.80000000000001</v>
      </c>
      <c r="CO285" s="4" t="s">
        <v>1</v>
      </c>
      <c r="CP285" s="4" t="s">
        <v>1</v>
      </c>
      <c r="CQ285" s="4" t="s">
        <v>1</v>
      </c>
      <c r="CR285" s="4" t="s">
        <v>1</v>
      </c>
      <c r="CS285" s="4" t="s">
        <v>1</v>
      </c>
      <c r="CT285" s="4" t="s">
        <v>1</v>
      </c>
      <c r="CU285" s="4" t="s">
        <v>1</v>
      </c>
      <c r="CV285" t="s">
        <v>850</v>
      </c>
      <c r="CW285">
        <v>100</v>
      </c>
      <c r="CX285">
        <v>0</v>
      </c>
      <c r="CY285">
        <v>60</v>
      </c>
      <c r="CZ285" s="26" t="s">
        <v>1358</v>
      </c>
      <c r="DA285" t="s">
        <v>734</v>
      </c>
      <c r="DB285">
        <v>23</v>
      </c>
      <c r="DC285">
        <v>0</v>
      </c>
      <c r="DD285">
        <v>60</v>
      </c>
      <c r="DE285" s="26" t="s">
        <v>1358</v>
      </c>
      <c r="DF285" t="s">
        <v>735</v>
      </c>
      <c r="DG285">
        <v>45</v>
      </c>
      <c r="DH285">
        <v>0</v>
      </c>
      <c r="DI285">
        <v>60</v>
      </c>
      <c r="DJ285" s="26" t="s">
        <v>1358</v>
      </c>
      <c r="DK285" t="s">
        <v>736</v>
      </c>
      <c r="DL285">
        <v>32</v>
      </c>
      <c r="DM285">
        <v>0</v>
      </c>
      <c r="DN285">
        <v>60</v>
      </c>
      <c r="DO285" s="26" t="s">
        <v>1358</v>
      </c>
      <c r="DP285" t="s">
        <v>6</v>
      </c>
      <c r="DQ285" t="s">
        <v>1</v>
      </c>
      <c r="DR285">
        <v>7.2</v>
      </c>
      <c r="DS285">
        <v>0</v>
      </c>
      <c r="DT285">
        <v>60</v>
      </c>
      <c r="DU285" s="26" t="s">
        <v>1358</v>
      </c>
      <c r="EA285" t="s">
        <v>982</v>
      </c>
      <c r="EB285">
        <v>6.2</v>
      </c>
      <c r="EC285">
        <v>0</v>
      </c>
      <c r="ED285">
        <v>60</v>
      </c>
      <c r="EE285" s="26" t="s">
        <v>1358</v>
      </c>
      <c r="EF285" s="26"/>
      <c r="FZ285" t="s">
        <v>806</v>
      </c>
      <c r="GA285">
        <v>0</v>
      </c>
      <c r="GE285" s="26" t="s">
        <v>1358</v>
      </c>
      <c r="HA285" s="5" t="s">
        <v>1</v>
      </c>
      <c r="HB285" s="4" t="s">
        <v>1</v>
      </c>
      <c r="HC285" t="s">
        <v>1</v>
      </c>
      <c r="HD285" t="s">
        <v>1</v>
      </c>
      <c r="HE285" t="s">
        <v>1</v>
      </c>
      <c r="HF285" s="5" t="s">
        <v>1</v>
      </c>
      <c r="HG285" s="4" t="s">
        <v>1</v>
      </c>
      <c r="HH285" t="s">
        <v>1</v>
      </c>
      <c r="HI285" t="s">
        <v>1</v>
      </c>
      <c r="HJ285" t="s">
        <v>1</v>
      </c>
      <c r="HK285" t="s">
        <v>815</v>
      </c>
      <c r="HL285" s="34">
        <v>1.3216666666666668</v>
      </c>
      <c r="HM285">
        <v>0</v>
      </c>
      <c r="HN285">
        <v>60</v>
      </c>
      <c r="HO285" t="s">
        <v>1</v>
      </c>
      <c r="HP285" s="26" t="s">
        <v>1358</v>
      </c>
      <c r="HZ285" t="s">
        <v>969</v>
      </c>
      <c r="IA285">
        <v>200</v>
      </c>
      <c r="IB285" s="10" t="s">
        <v>1</v>
      </c>
      <c r="IC285" s="10"/>
      <c r="ID285" s="10"/>
      <c r="IE285" s="10" t="s">
        <v>1</v>
      </c>
      <c r="IF285" s="10" t="s">
        <v>1</v>
      </c>
      <c r="IG285" s="10"/>
      <c r="IH285" s="10"/>
      <c r="II285" s="10"/>
      <c r="IJ285" s="10"/>
      <c r="IK285" s="10"/>
      <c r="IL285" s="10"/>
      <c r="IM285" s="10"/>
      <c r="IN285" s="10"/>
      <c r="IO285" s="10"/>
      <c r="IP285" s="10"/>
      <c r="IQ285" s="10"/>
      <c r="IR285" s="10"/>
      <c r="IS285" t="s">
        <v>1</v>
      </c>
      <c r="IT285" t="s">
        <v>1</v>
      </c>
      <c r="IW285" t="s">
        <v>1</v>
      </c>
      <c r="IX285" t="s">
        <v>1</v>
      </c>
      <c r="IY285" t="s">
        <v>808</v>
      </c>
      <c r="IZ285">
        <v>7020</v>
      </c>
      <c r="JA285" t="s">
        <v>1</v>
      </c>
      <c r="JB285" s="3" t="s">
        <v>1</v>
      </c>
      <c r="JC285" t="s">
        <v>965</v>
      </c>
      <c r="JD285" s="4">
        <v>41</v>
      </c>
      <c r="JE285" t="s">
        <v>1</v>
      </c>
      <c r="JF285" t="s">
        <v>1</v>
      </c>
      <c r="JR285" t="s">
        <v>1066</v>
      </c>
      <c r="JS285">
        <v>28.8</v>
      </c>
      <c r="JU285" t="s">
        <v>1</v>
      </c>
      <c r="JW285" t="s">
        <v>1</v>
      </c>
      <c r="JX285">
        <v>0</v>
      </c>
      <c r="JY285">
        <v>60</v>
      </c>
      <c r="JZ285" t="s">
        <v>800</v>
      </c>
      <c r="KA285" t="s">
        <v>291</v>
      </c>
      <c r="KB285" t="s">
        <v>738</v>
      </c>
      <c r="KC285" t="s">
        <v>1</v>
      </c>
      <c r="KD285" t="s">
        <v>1</v>
      </c>
      <c r="KE285" s="1" t="s">
        <v>1</v>
      </c>
      <c r="KF285" t="s">
        <v>1</v>
      </c>
      <c r="KG285" t="s">
        <v>1</v>
      </c>
      <c r="KH285" t="s">
        <v>1</v>
      </c>
      <c r="KI285" t="s">
        <v>1</v>
      </c>
      <c r="KJ285" t="s">
        <v>1</v>
      </c>
      <c r="KK285" t="s">
        <v>1</v>
      </c>
    </row>
    <row r="286" spans="1:297" x14ac:dyDescent="0.2">
      <c r="A286">
        <v>254</v>
      </c>
      <c r="B286" t="s">
        <v>705</v>
      </c>
      <c r="C286" t="s">
        <v>305</v>
      </c>
      <c r="D286" t="s">
        <v>293</v>
      </c>
      <c r="E286">
        <v>43</v>
      </c>
      <c r="F286" t="s">
        <v>1329</v>
      </c>
      <c r="G286" t="s">
        <v>1</v>
      </c>
      <c r="H286" s="26" t="s">
        <v>1420</v>
      </c>
      <c r="I286" t="s">
        <v>1</v>
      </c>
      <c r="J286" t="s">
        <v>1</v>
      </c>
      <c r="K286" t="s">
        <v>1</v>
      </c>
      <c r="L286" t="s">
        <v>1</v>
      </c>
      <c r="M286" t="s">
        <v>1</v>
      </c>
      <c r="N286" t="s">
        <v>1</v>
      </c>
      <c r="O286" t="s">
        <v>1</v>
      </c>
      <c r="P286" t="s">
        <v>1</v>
      </c>
      <c r="Q286" t="s">
        <v>1</v>
      </c>
      <c r="R286" t="s">
        <v>1</v>
      </c>
      <c r="S286" t="s">
        <v>1</v>
      </c>
      <c r="T286" t="s">
        <v>1</v>
      </c>
      <c r="U286" t="s">
        <v>1</v>
      </c>
      <c r="V286" t="s">
        <v>1</v>
      </c>
      <c r="W286" t="s">
        <v>1</v>
      </c>
      <c r="X286" t="s">
        <v>1</v>
      </c>
      <c r="Y286" t="s">
        <v>1</v>
      </c>
      <c r="Z286" t="s">
        <v>1</v>
      </c>
      <c r="AA286" t="s">
        <v>1</v>
      </c>
      <c r="AB286" t="s">
        <v>1</v>
      </c>
      <c r="AC286" t="s">
        <v>1</v>
      </c>
      <c r="AD286" t="s">
        <v>1</v>
      </c>
      <c r="AE286" t="s">
        <v>1</v>
      </c>
      <c r="AF286" t="s">
        <v>1</v>
      </c>
      <c r="AG286" t="s">
        <v>1</v>
      </c>
      <c r="AH286" t="s">
        <v>1</v>
      </c>
      <c r="AI286" t="s">
        <v>1</v>
      </c>
      <c r="AJ286" t="s">
        <v>1</v>
      </c>
      <c r="AK286" t="s">
        <v>1</v>
      </c>
      <c r="AL286" t="s">
        <v>1</v>
      </c>
      <c r="AM286" t="s">
        <v>1</v>
      </c>
      <c r="AN286">
        <v>254</v>
      </c>
      <c r="AO286">
        <f t="shared" si="36"/>
        <v>254</v>
      </c>
      <c r="AP286">
        <f t="shared" si="40"/>
        <v>43</v>
      </c>
      <c r="AQ286">
        <f t="shared" si="41"/>
        <v>43</v>
      </c>
      <c r="AR286" s="26" t="s">
        <v>1355</v>
      </c>
      <c r="AS286" s="26" t="s">
        <v>1356</v>
      </c>
      <c r="AT286" t="s">
        <v>723</v>
      </c>
      <c r="AU286" t="s">
        <v>1</v>
      </c>
      <c r="AV286" t="s">
        <v>1</v>
      </c>
      <c r="AW286">
        <v>35.33</v>
      </c>
      <c r="AX286">
        <v>51.63</v>
      </c>
      <c r="AY286" t="s">
        <v>737</v>
      </c>
      <c r="BA286" s="3">
        <v>3</v>
      </c>
      <c r="BB286" s="3"/>
      <c r="BC286" s="3"/>
      <c r="BD286" s="3"/>
      <c r="BE286" s="3"/>
      <c r="BF286">
        <v>2003</v>
      </c>
      <c r="BG286" s="24" t="s">
        <v>733</v>
      </c>
      <c r="BH286" s="24" t="s">
        <v>733</v>
      </c>
      <c r="BI286" s="24" t="s">
        <v>733</v>
      </c>
      <c r="BJ286" s="24" t="s">
        <v>732</v>
      </c>
      <c r="BK286" s="24" t="s">
        <v>733</v>
      </c>
      <c r="BL286" s="25" t="s">
        <v>733</v>
      </c>
      <c r="BM286" s="24" t="s">
        <v>733</v>
      </c>
      <c r="BN286" s="24" t="s">
        <v>732</v>
      </c>
      <c r="BO286" s="24" t="s">
        <v>733</v>
      </c>
      <c r="BP286" s="24" t="s">
        <v>733</v>
      </c>
      <c r="BQ286" s="24" t="s">
        <v>945</v>
      </c>
      <c r="BR286" s="24" t="s">
        <v>945</v>
      </c>
      <c r="BS286" s="25" t="s">
        <v>934</v>
      </c>
      <c r="BT286" s="24" t="s">
        <v>934</v>
      </c>
      <c r="BU286" s="24" t="s">
        <v>934</v>
      </c>
      <c r="BV286" s="24" t="s">
        <v>934</v>
      </c>
      <c r="BW286" s="24" t="s">
        <v>934</v>
      </c>
      <c r="BX286" s="24" t="s">
        <v>934</v>
      </c>
      <c r="BY286" s="25" t="s">
        <v>945</v>
      </c>
      <c r="BZ286" t="s">
        <v>5</v>
      </c>
      <c r="CB286" t="s">
        <v>1</v>
      </c>
      <c r="CC286" s="4" t="s">
        <v>1</v>
      </c>
      <c r="CD286" s="4"/>
      <c r="CE286" s="4"/>
      <c r="CF286" t="s">
        <v>1</v>
      </c>
      <c r="CG286" t="s">
        <v>1</v>
      </c>
      <c r="CH286" t="s">
        <v>805</v>
      </c>
      <c r="CI286" s="1">
        <v>0.6</v>
      </c>
      <c r="CJ286" s="9" t="s">
        <v>1</v>
      </c>
      <c r="CK286" s="9" t="s">
        <v>1</v>
      </c>
      <c r="CL286" s="4" t="s">
        <v>1</v>
      </c>
      <c r="CM286" t="s">
        <v>847</v>
      </c>
      <c r="CN286" s="4">
        <v>167.7</v>
      </c>
      <c r="CO286" s="4" t="s">
        <v>1</v>
      </c>
      <c r="CP286" s="4" t="s">
        <v>1</v>
      </c>
      <c r="CQ286" s="4" t="s">
        <v>1</v>
      </c>
      <c r="CR286" s="4" t="s">
        <v>1</v>
      </c>
      <c r="CS286" s="4" t="s">
        <v>1</v>
      </c>
      <c r="CT286" s="4" t="s">
        <v>1</v>
      </c>
      <c r="CU286" s="4" t="s">
        <v>1</v>
      </c>
      <c r="CV286" t="s">
        <v>850</v>
      </c>
      <c r="CW286">
        <v>100</v>
      </c>
      <c r="CX286">
        <v>0</v>
      </c>
      <c r="CY286">
        <v>60</v>
      </c>
      <c r="CZ286" s="26" t="s">
        <v>1358</v>
      </c>
      <c r="DA286" t="s">
        <v>734</v>
      </c>
      <c r="DB286">
        <v>23</v>
      </c>
      <c r="DC286">
        <v>0</v>
      </c>
      <c r="DD286">
        <v>60</v>
      </c>
      <c r="DE286" s="26" t="s">
        <v>1358</v>
      </c>
      <c r="DF286" t="s">
        <v>735</v>
      </c>
      <c r="DG286">
        <v>45</v>
      </c>
      <c r="DH286">
        <v>0</v>
      </c>
      <c r="DI286">
        <v>60</v>
      </c>
      <c r="DJ286" s="26" t="s">
        <v>1358</v>
      </c>
      <c r="DK286" t="s">
        <v>736</v>
      </c>
      <c r="DL286">
        <v>32</v>
      </c>
      <c r="DM286">
        <v>0</v>
      </c>
      <c r="DN286">
        <v>60</v>
      </c>
      <c r="DO286" s="26" t="s">
        <v>1358</v>
      </c>
      <c r="DP286" t="s">
        <v>6</v>
      </c>
      <c r="DQ286" t="s">
        <v>1</v>
      </c>
      <c r="DR286">
        <v>7.2</v>
      </c>
      <c r="DS286">
        <v>0</v>
      </c>
      <c r="DT286">
        <v>60</v>
      </c>
      <c r="DU286" s="26" t="s">
        <v>1358</v>
      </c>
      <c r="EA286" t="s">
        <v>982</v>
      </c>
      <c r="EB286">
        <v>6.2</v>
      </c>
      <c r="EC286">
        <v>0</v>
      </c>
      <c r="ED286">
        <v>60</v>
      </c>
      <c r="EE286" s="26" t="s">
        <v>1358</v>
      </c>
      <c r="EF286" s="26"/>
      <c r="FZ286" t="s">
        <v>806</v>
      </c>
      <c r="GA286">
        <v>0</v>
      </c>
      <c r="GE286" s="26" t="s">
        <v>1358</v>
      </c>
      <c r="HA286" s="5" t="s">
        <v>1</v>
      </c>
      <c r="HB286" s="4" t="s">
        <v>1</v>
      </c>
      <c r="HC286" t="s">
        <v>1</v>
      </c>
      <c r="HD286" t="s">
        <v>1</v>
      </c>
      <c r="HE286" t="s">
        <v>1</v>
      </c>
      <c r="HF286" s="5" t="s">
        <v>1</v>
      </c>
      <c r="HG286" s="4" t="s">
        <v>1</v>
      </c>
      <c r="HH286" t="s">
        <v>1</v>
      </c>
      <c r="HI286" t="s">
        <v>1</v>
      </c>
      <c r="HJ286" t="s">
        <v>1</v>
      </c>
      <c r="HK286" t="s">
        <v>815</v>
      </c>
      <c r="HL286" s="34">
        <v>1.3216666666666668</v>
      </c>
      <c r="HM286">
        <v>0</v>
      </c>
      <c r="HN286">
        <v>60</v>
      </c>
      <c r="HO286" t="s">
        <v>1</v>
      </c>
      <c r="HP286" s="26" t="s">
        <v>1358</v>
      </c>
      <c r="HZ286" t="s">
        <v>969</v>
      </c>
      <c r="IA286">
        <v>200</v>
      </c>
      <c r="IB286" s="10" t="s">
        <v>1</v>
      </c>
      <c r="IC286" s="10"/>
      <c r="ID286" s="10"/>
      <c r="IE286" s="10" t="s">
        <v>1</v>
      </c>
      <c r="IF286" s="10" t="s">
        <v>1</v>
      </c>
      <c r="IG286" s="10"/>
      <c r="IH286" s="10"/>
      <c r="II286" s="10"/>
      <c r="IJ286" s="10"/>
      <c r="IK286" s="10"/>
      <c r="IL286" s="10"/>
      <c r="IM286" s="10"/>
      <c r="IN286" s="10"/>
      <c r="IO286" s="10"/>
      <c r="IP286" s="10"/>
      <c r="IQ286" s="10"/>
      <c r="IR286" s="10"/>
      <c r="IS286" t="s">
        <v>1</v>
      </c>
      <c r="IT286" t="s">
        <v>1</v>
      </c>
      <c r="IW286" t="s">
        <v>1</v>
      </c>
      <c r="IX286" t="s">
        <v>1</v>
      </c>
      <c r="IY286" t="s">
        <v>808</v>
      </c>
      <c r="IZ286">
        <v>7660</v>
      </c>
      <c r="JA286" t="s">
        <v>1</v>
      </c>
      <c r="JB286" s="3" t="s">
        <v>1</v>
      </c>
      <c r="JC286" t="s">
        <v>965</v>
      </c>
      <c r="JD286" s="4">
        <v>44</v>
      </c>
      <c r="JE286" t="s">
        <v>1</v>
      </c>
      <c r="JF286" t="s">
        <v>1</v>
      </c>
      <c r="JR286" t="s">
        <v>1066</v>
      </c>
      <c r="JS286">
        <v>31</v>
      </c>
      <c r="JU286" t="s">
        <v>1</v>
      </c>
      <c r="JW286" t="s">
        <v>1</v>
      </c>
      <c r="JX286">
        <v>0</v>
      </c>
      <c r="JY286">
        <v>60</v>
      </c>
      <c r="JZ286" t="s">
        <v>800</v>
      </c>
      <c r="KA286" t="s">
        <v>291</v>
      </c>
      <c r="KB286" t="s">
        <v>738</v>
      </c>
      <c r="KC286" t="s">
        <v>1</v>
      </c>
      <c r="KD286" t="s">
        <v>1</v>
      </c>
      <c r="KE286" s="1" t="s">
        <v>1</v>
      </c>
      <c r="KF286" t="s">
        <v>1</v>
      </c>
      <c r="KG286" t="s">
        <v>1</v>
      </c>
      <c r="KH286" t="s">
        <v>1</v>
      </c>
      <c r="KI286" t="s">
        <v>1</v>
      </c>
      <c r="KJ286" t="s">
        <v>1</v>
      </c>
      <c r="KK286" t="s">
        <v>1</v>
      </c>
    </row>
    <row r="287" spans="1:297" x14ac:dyDescent="0.2">
      <c r="A287">
        <v>255</v>
      </c>
      <c r="B287" t="s">
        <v>705</v>
      </c>
      <c r="C287" t="s">
        <v>224</v>
      </c>
      <c r="D287" t="s">
        <v>306</v>
      </c>
      <c r="E287">
        <v>44</v>
      </c>
      <c r="F287" t="s">
        <v>307</v>
      </c>
      <c r="G287" t="s">
        <v>1</v>
      </c>
      <c r="H287" s="26" t="s">
        <v>1420</v>
      </c>
      <c r="I287" t="s">
        <v>1</v>
      </c>
      <c r="J287" t="s">
        <v>1</v>
      </c>
      <c r="K287" t="s">
        <v>1</v>
      </c>
      <c r="L287" t="s">
        <v>1</v>
      </c>
      <c r="M287" t="s">
        <v>1</v>
      </c>
      <c r="N287" t="s">
        <v>1</v>
      </c>
      <c r="O287" t="s">
        <v>1</v>
      </c>
      <c r="P287" t="s">
        <v>1</v>
      </c>
      <c r="Q287" t="s">
        <v>1</v>
      </c>
      <c r="R287" t="s">
        <v>1</v>
      </c>
      <c r="S287" t="s">
        <v>1</v>
      </c>
      <c r="T287" t="s">
        <v>1</v>
      </c>
      <c r="U287" t="s">
        <v>1</v>
      </c>
      <c r="V287" t="s">
        <v>1</v>
      </c>
      <c r="W287" t="s">
        <v>1</v>
      </c>
      <c r="X287" t="s">
        <v>1</v>
      </c>
      <c r="Y287" t="s">
        <v>1</v>
      </c>
      <c r="Z287" t="s">
        <v>1</v>
      </c>
      <c r="AA287" t="s">
        <v>1</v>
      </c>
      <c r="AB287" t="s">
        <v>1</v>
      </c>
      <c r="AC287" t="s">
        <v>1</v>
      </c>
      <c r="AD287" t="s">
        <v>1</v>
      </c>
      <c r="AE287" t="s">
        <v>1</v>
      </c>
      <c r="AF287" t="s">
        <v>1</v>
      </c>
      <c r="AG287" t="s">
        <v>1</v>
      </c>
      <c r="AH287" t="s">
        <v>1</v>
      </c>
      <c r="AI287" t="s">
        <v>1</v>
      </c>
      <c r="AJ287" t="s">
        <v>1</v>
      </c>
      <c r="AK287" t="s">
        <v>1</v>
      </c>
      <c r="AL287" t="s">
        <v>1</v>
      </c>
      <c r="AM287" t="s">
        <v>1</v>
      </c>
      <c r="AN287">
        <v>255</v>
      </c>
      <c r="AO287">
        <f t="shared" si="36"/>
        <v>255</v>
      </c>
      <c r="AP287">
        <f t="shared" si="40"/>
        <v>44</v>
      </c>
      <c r="AQ287">
        <f t="shared" si="41"/>
        <v>44</v>
      </c>
      <c r="AR287" s="26" t="s">
        <v>1355</v>
      </c>
      <c r="AS287" s="26" t="s">
        <v>1356</v>
      </c>
      <c r="AT287" t="s">
        <v>724</v>
      </c>
      <c r="AU287" t="s">
        <v>1</v>
      </c>
      <c r="AV287" t="s">
        <v>1</v>
      </c>
      <c r="AW287">
        <v>-17.61</v>
      </c>
      <c r="AX287">
        <v>145.99</v>
      </c>
      <c r="AY287" t="s">
        <v>737</v>
      </c>
      <c r="BA287" s="3">
        <v>1</v>
      </c>
      <c r="BB287" s="3"/>
      <c r="BC287" s="3"/>
      <c r="BD287" s="3"/>
      <c r="BE287" s="3"/>
      <c r="BF287">
        <v>1995</v>
      </c>
      <c r="BG287" s="24" t="s">
        <v>733</v>
      </c>
      <c r="BH287" s="24" t="s">
        <v>733</v>
      </c>
      <c r="BI287" s="24" t="s">
        <v>733</v>
      </c>
      <c r="BJ287" s="24" t="s">
        <v>732</v>
      </c>
      <c r="BK287" s="24" t="s">
        <v>733</v>
      </c>
      <c r="BL287" s="25" t="s">
        <v>733</v>
      </c>
      <c r="BM287" s="24" t="s">
        <v>733</v>
      </c>
      <c r="BN287" s="24" t="s">
        <v>732</v>
      </c>
      <c r="BO287" s="24" t="s">
        <v>733</v>
      </c>
      <c r="BP287" s="24" t="s">
        <v>733</v>
      </c>
      <c r="BQ287" s="24" t="s">
        <v>945</v>
      </c>
      <c r="BR287" s="24" t="s">
        <v>945</v>
      </c>
      <c r="BS287" s="25" t="s">
        <v>934</v>
      </c>
      <c r="BT287" s="24" t="s">
        <v>934</v>
      </c>
      <c r="BU287" s="24" t="s">
        <v>934</v>
      </c>
      <c r="BV287" s="24" t="s">
        <v>934</v>
      </c>
      <c r="BW287" s="24" t="s">
        <v>934</v>
      </c>
      <c r="BX287" s="24" t="s">
        <v>934</v>
      </c>
      <c r="BY287" s="25" t="s">
        <v>945</v>
      </c>
      <c r="BZ287" t="s">
        <v>1418</v>
      </c>
      <c r="CB287" t="s">
        <v>1</v>
      </c>
      <c r="CC287" s="4" t="s">
        <v>1</v>
      </c>
      <c r="CD287" s="4"/>
      <c r="CE287" s="4"/>
      <c r="CF287" t="s">
        <v>1</v>
      </c>
      <c r="CG287" t="s">
        <v>1</v>
      </c>
      <c r="CH287" t="s">
        <v>805</v>
      </c>
      <c r="CI287" s="6">
        <v>0.4</v>
      </c>
      <c r="CJ287" s="9" t="s">
        <v>1</v>
      </c>
      <c r="CK287" s="9" t="s">
        <v>1</v>
      </c>
      <c r="CL287" s="4" t="s">
        <v>1</v>
      </c>
      <c r="CM287" t="s">
        <v>847</v>
      </c>
      <c r="CN287" s="4">
        <f>26.4/27.2*AVERAGE(218,645)</f>
        <v>418.80882352941177</v>
      </c>
      <c r="CO287" s="4" t="s">
        <v>1</v>
      </c>
      <c r="CP287" s="4" t="s">
        <v>1</v>
      </c>
      <c r="CQ287" s="4" t="s">
        <v>1</v>
      </c>
      <c r="CR287" s="4" t="s">
        <v>1</v>
      </c>
      <c r="CS287" s="4" t="s">
        <v>1</v>
      </c>
      <c r="CT287" s="4" t="s">
        <v>1</v>
      </c>
      <c r="CU287" s="4" t="s">
        <v>1</v>
      </c>
      <c r="CV287" t="s">
        <v>849</v>
      </c>
      <c r="CW287">
        <v>100</v>
      </c>
      <c r="CX287">
        <v>0</v>
      </c>
      <c r="CY287">
        <v>30</v>
      </c>
      <c r="CZ287" s="26" t="s">
        <v>1358</v>
      </c>
      <c r="DA287" t="s">
        <v>734</v>
      </c>
      <c r="DB287">
        <v>34.299999999999997</v>
      </c>
      <c r="DC287">
        <v>0</v>
      </c>
      <c r="DD287">
        <v>30</v>
      </c>
      <c r="DE287" s="26" t="s">
        <v>1358</v>
      </c>
      <c r="DF287" t="s">
        <v>735</v>
      </c>
      <c r="DG287">
        <v>24.7</v>
      </c>
      <c r="DH287">
        <v>0</v>
      </c>
      <c r="DI287">
        <v>30</v>
      </c>
      <c r="DJ287" s="26" t="s">
        <v>1358</v>
      </c>
      <c r="DK287" t="s">
        <v>736</v>
      </c>
      <c r="DL287">
        <v>41</v>
      </c>
      <c r="DM287">
        <v>0</v>
      </c>
      <c r="DN287">
        <v>30</v>
      </c>
      <c r="DO287" s="26" t="s">
        <v>1358</v>
      </c>
      <c r="DP287" t="s">
        <v>6</v>
      </c>
      <c r="DQ287" t="s">
        <v>813</v>
      </c>
      <c r="DR287">
        <v>5.6</v>
      </c>
      <c r="DS287">
        <v>0</v>
      </c>
      <c r="DT287">
        <v>30</v>
      </c>
      <c r="DU287" s="26" t="s">
        <v>1358</v>
      </c>
      <c r="EA287" t="s">
        <v>982</v>
      </c>
      <c r="EB287">
        <v>17.5</v>
      </c>
      <c r="EC287">
        <v>0</v>
      </c>
      <c r="ED287">
        <v>30</v>
      </c>
      <c r="EE287" s="26" t="s">
        <v>1358</v>
      </c>
      <c r="EF287" s="26"/>
      <c r="FZ287" t="s">
        <v>806</v>
      </c>
      <c r="GA287">
        <v>2755</v>
      </c>
      <c r="GE287" s="26" t="s">
        <v>1358</v>
      </c>
      <c r="HA287" s="5" t="s">
        <v>1069</v>
      </c>
      <c r="HB287" s="4">
        <v>9.1666666666666661</v>
      </c>
      <c r="HC287">
        <v>0</v>
      </c>
      <c r="HD287">
        <v>30</v>
      </c>
      <c r="HE287" s="26" t="s">
        <v>1358</v>
      </c>
      <c r="HF287" s="5" t="s">
        <v>1</v>
      </c>
      <c r="HG287" s="4" t="s">
        <v>1</v>
      </c>
      <c r="HH287" t="s">
        <v>1</v>
      </c>
      <c r="HI287" t="s">
        <v>1</v>
      </c>
      <c r="HJ287" t="s">
        <v>1</v>
      </c>
      <c r="HK287" t="s">
        <v>1</v>
      </c>
      <c r="HL287" t="s">
        <v>1</v>
      </c>
      <c r="HM287" t="s">
        <v>1</v>
      </c>
      <c r="HN287" t="s">
        <v>1</v>
      </c>
      <c r="HO287" t="s">
        <v>1</v>
      </c>
      <c r="HP287" t="s">
        <v>1</v>
      </c>
      <c r="HZ287" t="s">
        <v>1</v>
      </c>
      <c r="IA287" t="s">
        <v>1</v>
      </c>
      <c r="IB287" s="10" t="s">
        <v>1</v>
      </c>
      <c r="IC287" s="10"/>
      <c r="ID287" s="10"/>
      <c r="IE287" s="10" t="s">
        <v>1</v>
      </c>
      <c r="IF287" s="10" t="s">
        <v>1</v>
      </c>
      <c r="IG287" s="10"/>
      <c r="IH287" s="10"/>
      <c r="II287" s="10"/>
      <c r="IJ287" s="10"/>
      <c r="IK287" s="10"/>
      <c r="IL287" s="10"/>
      <c r="IM287" s="10"/>
      <c r="IN287" s="10"/>
      <c r="IO287" s="10"/>
      <c r="IP287" s="10"/>
      <c r="IQ287" s="10"/>
      <c r="IR287" s="10"/>
      <c r="IS287" t="s">
        <v>1</v>
      </c>
      <c r="IT287" t="s">
        <v>1</v>
      </c>
      <c r="IW287" t="s">
        <v>1</v>
      </c>
      <c r="IX287" t="s">
        <v>1</v>
      </c>
      <c r="IY287" t="s">
        <v>808</v>
      </c>
      <c r="IZ287">
        <v>4750</v>
      </c>
      <c r="JA287" t="s">
        <v>1</v>
      </c>
      <c r="JB287" s="3" t="s">
        <v>1</v>
      </c>
      <c r="JC287" t="s">
        <v>1</v>
      </c>
      <c r="JD287" s="4" t="s">
        <v>1</v>
      </c>
      <c r="JE287" t="s">
        <v>1</v>
      </c>
      <c r="JF287" t="s">
        <v>1</v>
      </c>
      <c r="JR287" t="s">
        <v>1066</v>
      </c>
      <c r="JS287">
        <v>940.7</v>
      </c>
      <c r="JU287" t="s">
        <v>1</v>
      </c>
      <c r="JW287" t="s">
        <v>1</v>
      </c>
      <c r="JX287">
        <v>0</v>
      </c>
      <c r="JY287">
        <v>100</v>
      </c>
      <c r="JZ287" t="s">
        <v>800</v>
      </c>
      <c r="KA287" t="s">
        <v>308</v>
      </c>
      <c r="KB287" t="s">
        <v>738</v>
      </c>
      <c r="KC287" t="s">
        <v>1</v>
      </c>
      <c r="KD287" t="s">
        <v>1</v>
      </c>
      <c r="KE287" s="1" t="s">
        <v>1</v>
      </c>
      <c r="KF287" t="s">
        <v>1</v>
      </c>
      <c r="KG287" t="s">
        <v>1</v>
      </c>
      <c r="KH287" t="s">
        <v>1</v>
      </c>
      <c r="KI287" t="s">
        <v>1</v>
      </c>
      <c r="KJ287" t="s">
        <v>1</v>
      </c>
      <c r="KK287" t="s">
        <v>1</v>
      </c>
    </row>
    <row r="288" spans="1:297" x14ac:dyDescent="0.2">
      <c r="A288">
        <v>256</v>
      </c>
      <c r="B288" t="s">
        <v>705</v>
      </c>
      <c r="C288" t="s">
        <v>309</v>
      </c>
      <c r="D288" t="s">
        <v>306</v>
      </c>
      <c r="E288">
        <v>44</v>
      </c>
      <c r="F288" t="s">
        <v>307</v>
      </c>
      <c r="G288" t="s">
        <v>1</v>
      </c>
      <c r="H288" s="26" t="s">
        <v>1420</v>
      </c>
      <c r="I288" t="s">
        <v>1</v>
      </c>
      <c r="J288" t="s">
        <v>1</v>
      </c>
      <c r="K288" t="s">
        <v>1</v>
      </c>
      <c r="L288" t="s">
        <v>1</v>
      </c>
      <c r="M288" t="s">
        <v>1</v>
      </c>
      <c r="N288" t="s">
        <v>1</v>
      </c>
      <c r="O288" t="s">
        <v>1</v>
      </c>
      <c r="P288" t="s">
        <v>1</v>
      </c>
      <c r="Q288" t="s">
        <v>1</v>
      </c>
      <c r="R288" t="s">
        <v>1</v>
      </c>
      <c r="S288" t="s">
        <v>1</v>
      </c>
      <c r="T288" t="s">
        <v>1</v>
      </c>
      <c r="U288" t="s">
        <v>1</v>
      </c>
      <c r="V288" t="s">
        <v>1</v>
      </c>
      <c r="W288" t="s">
        <v>1</v>
      </c>
      <c r="X288" t="s">
        <v>1</v>
      </c>
      <c r="Y288" t="s">
        <v>1</v>
      </c>
      <c r="Z288" t="s">
        <v>1</v>
      </c>
      <c r="AA288" t="s">
        <v>1</v>
      </c>
      <c r="AB288" t="s">
        <v>1</v>
      </c>
      <c r="AC288" t="s">
        <v>1</v>
      </c>
      <c r="AD288" t="s">
        <v>1</v>
      </c>
      <c r="AE288" t="s">
        <v>1</v>
      </c>
      <c r="AF288" t="s">
        <v>1</v>
      </c>
      <c r="AG288" t="s">
        <v>1</v>
      </c>
      <c r="AH288" t="s">
        <v>1</v>
      </c>
      <c r="AI288" t="s">
        <v>1</v>
      </c>
      <c r="AJ288" t="s">
        <v>1</v>
      </c>
      <c r="AK288" t="s">
        <v>1</v>
      </c>
      <c r="AL288" t="s">
        <v>1</v>
      </c>
      <c r="AM288" t="s">
        <v>1</v>
      </c>
      <c r="AN288">
        <v>256</v>
      </c>
      <c r="AO288">
        <f t="shared" si="36"/>
        <v>256</v>
      </c>
      <c r="AP288">
        <f t="shared" si="40"/>
        <v>44</v>
      </c>
      <c r="AQ288">
        <f t="shared" si="41"/>
        <v>44</v>
      </c>
      <c r="AR288" s="26" t="s">
        <v>1355</v>
      </c>
      <c r="AS288" s="26" t="s">
        <v>1356</v>
      </c>
      <c r="AT288" t="s">
        <v>724</v>
      </c>
      <c r="AU288" t="s">
        <v>1</v>
      </c>
      <c r="AV288" t="s">
        <v>1</v>
      </c>
      <c r="AW288">
        <v>-17.61</v>
      </c>
      <c r="AX288">
        <v>145.99</v>
      </c>
      <c r="AY288" t="s">
        <v>737</v>
      </c>
      <c r="BA288" s="3">
        <v>1</v>
      </c>
      <c r="BB288" s="3"/>
      <c r="BC288" s="3"/>
      <c r="BD288" s="3"/>
      <c r="BE288" s="3"/>
      <c r="BF288">
        <v>1995</v>
      </c>
      <c r="BG288" s="24" t="s">
        <v>733</v>
      </c>
      <c r="BH288" s="24" t="s">
        <v>733</v>
      </c>
      <c r="BI288" s="24" t="s">
        <v>733</v>
      </c>
      <c r="BJ288" s="24" t="s">
        <v>732</v>
      </c>
      <c r="BK288" s="24" t="s">
        <v>733</v>
      </c>
      <c r="BL288" s="25" t="s">
        <v>733</v>
      </c>
      <c r="BM288" s="24" t="s">
        <v>733</v>
      </c>
      <c r="BN288" s="24" t="s">
        <v>732</v>
      </c>
      <c r="BO288" s="24" t="s">
        <v>733</v>
      </c>
      <c r="BP288" s="24" t="s">
        <v>733</v>
      </c>
      <c r="BQ288" s="24" t="s">
        <v>945</v>
      </c>
      <c r="BR288" s="24" t="s">
        <v>945</v>
      </c>
      <c r="BS288" s="25" t="s">
        <v>934</v>
      </c>
      <c r="BT288" s="24" t="s">
        <v>934</v>
      </c>
      <c r="BU288" s="24" t="s">
        <v>934</v>
      </c>
      <c r="BV288" s="24" t="s">
        <v>934</v>
      </c>
      <c r="BW288" s="24" t="s">
        <v>934</v>
      </c>
      <c r="BX288" s="24" t="s">
        <v>934</v>
      </c>
      <c r="BY288" s="25" t="s">
        <v>945</v>
      </c>
      <c r="BZ288" t="s">
        <v>1418</v>
      </c>
      <c r="CB288" t="s">
        <v>1</v>
      </c>
      <c r="CC288" s="4" t="s">
        <v>1</v>
      </c>
      <c r="CD288" s="4"/>
      <c r="CE288" s="4"/>
      <c r="CF288" t="s">
        <v>1</v>
      </c>
      <c r="CG288" t="s">
        <v>1</v>
      </c>
      <c r="CH288" t="s">
        <v>805</v>
      </c>
      <c r="CI288" s="6">
        <v>0.4</v>
      </c>
      <c r="CJ288" s="9" t="s">
        <v>1</v>
      </c>
      <c r="CK288" s="9" t="s">
        <v>1</v>
      </c>
      <c r="CL288" s="4" t="s">
        <v>1</v>
      </c>
      <c r="CM288" t="s">
        <v>847</v>
      </c>
      <c r="CN288" s="4">
        <f>AVERAGE(218,645)</f>
        <v>431.5</v>
      </c>
      <c r="CO288" s="4" t="s">
        <v>1</v>
      </c>
      <c r="CP288" s="4" t="s">
        <v>1</v>
      </c>
      <c r="CQ288" s="4" t="s">
        <v>1</v>
      </c>
      <c r="CR288" s="4" t="s">
        <v>1</v>
      </c>
      <c r="CS288" s="4" t="s">
        <v>1</v>
      </c>
      <c r="CT288" s="4" t="s">
        <v>1</v>
      </c>
      <c r="CU288" s="4" t="s">
        <v>1</v>
      </c>
      <c r="CV288" t="s">
        <v>849</v>
      </c>
      <c r="CW288">
        <v>100</v>
      </c>
      <c r="CX288">
        <v>0</v>
      </c>
      <c r="CY288">
        <v>30</v>
      </c>
      <c r="CZ288" s="26" t="s">
        <v>1358</v>
      </c>
      <c r="DA288" t="s">
        <v>734</v>
      </c>
      <c r="DB288">
        <v>34.299999999999997</v>
      </c>
      <c r="DC288">
        <v>0</v>
      </c>
      <c r="DD288">
        <v>30</v>
      </c>
      <c r="DE288" s="26" t="s">
        <v>1358</v>
      </c>
      <c r="DF288" t="s">
        <v>735</v>
      </c>
      <c r="DG288">
        <v>24.7</v>
      </c>
      <c r="DH288">
        <v>0</v>
      </c>
      <c r="DI288">
        <v>30</v>
      </c>
      <c r="DJ288" s="26" t="s">
        <v>1358</v>
      </c>
      <c r="DK288" t="s">
        <v>736</v>
      </c>
      <c r="DL288">
        <v>41</v>
      </c>
      <c r="DM288">
        <v>0</v>
      </c>
      <c r="DN288">
        <v>30</v>
      </c>
      <c r="DO288" s="26" t="s">
        <v>1358</v>
      </c>
      <c r="DP288" t="s">
        <v>6</v>
      </c>
      <c r="DQ288" t="s">
        <v>813</v>
      </c>
      <c r="DR288">
        <v>5.6</v>
      </c>
      <c r="DS288">
        <v>0</v>
      </c>
      <c r="DT288">
        <v>30</v>
      </c>
      <c r="DU288" s="26" t="s">
        <v>1358</v>
      </c>
      <c r="EA288" t="s">
        <v>982</v>
      </c>
      <c r="EB288">
        <v>17.5</v>
      </c>
      <c r="EC288">
        <v>0</v>
      </c>
      <c r="ED288">
        <v>30</v>
      </c>
      <c r="EE288" s="26" t="s">
        <v>1358</v>
      </c>
      <c r="EF288" s="26"/>
      <c r="FZ288" t="s">
        <v>806</v>
      </c>
      <c r="GA288">
        <v>2755</v>
      </c>
      <c r="GE288" s="26" t="s">
        <v>1358</v>
      </c>
      <c r="HA288" s="5" t="s">
        <v>1069</v>
      </c>
      <c r="HB288" s="4">
        <v>9.1666666666666661</v>
      </c>
      <c r="HC288">
        <v>0</v>
      </c>
      <c r="HD288">
        <v>30</v>
      </c>
      <c r="HE288" s="26" t="s">
        <v>1358</v>
      </c>
      <c r="HF288" s="5" t="s">
        <v>1</v>
      </c>
      <c r="HG288" s="4" t="s">
        <v>1</v>
      </c>
      <c r="HH288" t="s">
        <v>1</v>
      </c>
      <c r="HI288" t="s">
        <v>1</v>
      </c>
      <c r="HJ288" t="s">
        <v>1</v>
      </c>
      <c r="HK288" t="s">
        <v>1</v>
      </c>
      <c r="HL288" t="s">
        <v>1</v>
      </c>
      <c r="HM288" t="s">
        <v>1</v>
      </c>
      <c r="HN288" t="s">
        <v>1</v>
      </c>
      <c r="HO288" t="s">
        <v>1</v>
      </c>
      <c r="HP288" t="s">
        <v>1</v>
      </c>
      <c r="HZ288" t="s">
        <v>969</v>
      </c>
      <c r="IA288">
        <v>400</v>
      </c>
      <c r="IB288" s="10" t="s">
        <v>1</v>
      </c>
      <c r="IC288" s="10"/>
      <c r="ID288" s="10"/>
      <c r="IE288" s="10" t="s">
        <v>1</v>
      </c>
      <c r="IF288" s="10" t="s">
        <v>1</v>
      </c>
      <c r="IG288" s="10"/>
      <c r="IH288" s="10"/>
      <c r="II288" s="10"/>
      <c r="IJ288" s="10"/>
      <c r="IK288" s="10"/>
      <c r="IL288" s="10"/>
      <c r="IM288" s="10"/>
      <c r="IN288" s="10"/>
      <c r="IO288" s="10"/>
      <c r="IP288" s="10"/>
      <c r="IQ288" s="10"/>
      <c r="IR288" s="10"/>
      <c r="IS288" t="s">
        <v>1</v>
      </c>
      <c r="IT288" t="s">
        <v>1</v>
      </c>
      <c r="IW288" t="s">
        <v>1</v>
      </c>
      <c r="IX288" t="s">
        <v>1</v>
      </c>
      <c r="IY288" t="s">
        <v>808</v>
      </c>
      <c r="IZ288">
        <v>4750</v>
      </c>
      <c r="JA288" t="s">
        <v>1</v>
      </c>
      <c r="JB288" s="3" t="s">
        <v>1</v>
      </c>
      <c r="JC288" t="s">
        <v>1</v>
      </c>
      <c r="JD288" s="4" t="s">
        <v>1</v>
      </c>
      <c r="JE288" t="s">
        <v>1</v>
      </c>
      <c r="JF288" t="s">
        <v>1</v>
      </c>
      <c r="JR288" t="s">
        <v>1066</v>
      </c>
      <c r="JS288">
        <v>1485.1</v>
      </c>
      <c r="JU288" t="s">
        <v>1</v>
      </c>
      <c r="JW288" t="s">
        <v>1</v>
      </c>
      <c r="JX288">
        <v>0</v>
      </c>
      <c r="JY288">
        <v>100</v>
      </c>
      <c r="JZ288" t="s">
        <v>800</v>
      </c>
      <c r="KA288" t="s">
        <v>308</v>
      </c>
      <c r="KB288" t="s">
        <v>738</v>
      </c>
      <c r="KC288" t="s">
        <v>1</v>
      </c>
      <c r="KD288" t="s">
        <v>1</v>
      </c>
      <c r="KE288" s="1" t="s">
        <v>1</v>
      </c>
      <c r="KF288" t="s">
        <v>1</v>
      </c>
      <c r="KG288" t="s">
        <v>1</v>
      </c>
      <c r="KH288" t="s">
        <v>1</v>
      </c>
      <c r="KI288" t="s">
        <v>1</v>
      </c>
      <c r="KJ288" t="s">
        <v>1</v>
      </c>
      <c r="KK288" t="s">
        <v>1</v>
      </c>
    </row>
    <row r="289" spans="1:297" x14ac:dyDescent="0.2">
      <c r="A289">
        <v>257</v>
      </c>
      <c r="B289" t="s">
        <v>705</v>
      </c>
      <c r="C289" t="s">
        <v>310</v>
      </c>
      <c r="D289" t="s">
        <v>306</v>
      </c>
      <c r="E289">
        <v>44</v>
      </c>
      <c r="F289" t="s">
        <v>307</v>
      </c>
      <c r="G289" t="s">
        <v>1</v>
      </c>
      <c r="H289" s="26" t="s">
        <v>1420</v>
      </c>
      <c r="I289" t="s">
        <v>1</v>
      </c>
      <c r="J289" t="s">
        <v>1</v>
      </c>
      <c r="K289" t="s">
        <v>1</v>
      </c>
      <c r="L289" t="s">
        <v>1</v>
      </c>
      <c r="M289" t="s">
        <v>1</v>
      </c>
      <c r="N289" t="s">
        <v>1</v>
      </c>
      <c r="O289" t="s">
        <v>1</v>
      </c>
      <c r="P289" t="s">
        <v>1</v>
      </c>
      <c r="Q289" t="s">
        <v>1</v>
      </c>
      <c r="R289" t="s">
        <v>1</v>
      </c>
      <c r="S289" t="s">
        <v>1</v>
      </c>
      <c r="T289" t="s">
        <v>1</v>
      </c>
      <c r="U289" t="s">
        <v>1</v>
      </c>
      <c r="V289" t="s">
        <v>1</v>
      </c>
      <c r="W289" t="s">
        <v>1</v>
      </c>
      <c r="X289" t="s">
        <v>1</v>
      </c>
      <c r="Y289" t="s">
        <v>1</v>
      </c>
      <c r="Z289" t="s">
        <v>1</v>
      </c>
      <c r="AA289" t="s">
        <v>1</v>
      </c>
      <c r="AB289" t="s">
        <v>1</v>
      </c>
      <c r="AC289" t="s">
        <v>1</v>
      </c>
      <c r="AD289" t="s">
        <v>1</v>
      </c>
      <c r="AE289" t="s">
        <v>1</v>
      </c>
      <c r="AF289" t="s">
        <v>1</v>
      </c>
      <c r="AG289" t="s">
        <v>1</v>
      </c>
      <c r="AH289" t="s">
        <v>1</v>
      </c>
      <c r="AI289" t="s">
        <v>1</v>
      </c>
      <c r="AJ289" t="s">
        <v>1</v>
      </c>
      <c r="AK289" t="s">
        <v>1</v>
      </c>
      <c r="AL289" t="s">
        <v>1</v>
      </c>
      <c r="AM289" t="s">
        <v>1</v>
      </c>
      <c r="AN289">
        <v>257</v>
      </c>
      <c r="AO289">
        <f t="shared" si="36"/>
        <v>257</v>
      </c>
      <c r="AP289">
        <f t="shared" si="40"/>
        <v>44</v>
      </c>
      <c r="AQ289">
        <f t="shared" si="41"/>
        <v>44</v>
      </c>
      <c r="AR289" s="26" t="s">
        <v>1355</v>
      </c>
      <c r="AS289" s="26" t="s">
        <v>1356</v>
      </c>
      <c r="AT289" t="s">
        <v>724</v>
      </c>
      <c r="AU289" t="s">
        <v>1</v>
      </c>
      <c r="AV289" t="s">
        <v>1</v>
      </c>
      <c r="AW289">
        <v>-17.61</v>
      </c>
      <c r="AX289">
        <v>145.99</v>
      </c>
      <c r="AY289" t="s">
        <v>737</v>
      </c>
      <c r="BA289" s="3">
        <v>1</v>
      </c>
      <c r="BB289" s="3"/>
      <c r="BC289" s="3"/>
      <c r="BD289" s="3"/>
      <c r="BE289" s="3"/>
      <c r="BF289">
        <v>1995</v>
      </c>
      <c r="BG289" s="24" t="s">
        <v>733</v>
      </c>
      <c r="BH289" s="24" t="s">
        <v>733</v>
      </c>
      <c r="BI289" s="24" t="s">
        <v>733</v>
      </c>
      <c r="BJ289" s="24" t="s">
        <v>732</v>
      </c>
      <c r="BK289" s="24" t="s">
        <v>733</v>
      </c>
      <c r="BL289" s="25" t="s">
        <v>733</v>
      </c>
      <c r="BM289" s="24" t="s">
        <v>733</v>
      </c>
      <c r="BN289" s="24" t="s">
        <v>732</v>
      </c>
      <c r="BO289" s="24" t="s">
        <v>733</v>
      </c>
      <c r="BP289" s="24" t="s">
        <v>733</v>
      </c>
      <c r="BQ289" s="24" t="s">
        <v>945</v>
      </c>
      <c r="BR289" s="24" t="s">
        <v>945</v>
      </c>
      <c r="BS289" s="25" t="s">
        <v>934</v>
      </c>
      <c r="BT289" s="24" t="s">
        <v>934</v>
      </c>
      <c r="BU289" s="24" t="s">
        <v>934</v>
      </c>
      <c r="BV289" s="24" t="s">
        <v>934</v>
      </c>
      <c r="BW289" s="24" t="s">
        <v>934</v>
      </c>
      <c r="BX289" s="24" t="s">
        <v>934</v>
      </c>
      <c r="BY289" s="25" t="s">
        <v>945</v>
      </c>
      <c r="BZ289" t="s">
        <v>1418</v>
      </c>
      <c r="CB289" t="s">
        <v>1</v>
      </c>
      <c r="CC289" s="4" t="s">
        <v>1</v>
      </c>
      <c r="CD289" s="4"/>
      <c r="CE289" s="4"/>
      <c r="CF289" t="s">
        <v>1</v>
      </c>
      <c r="CG289" t="s">
        <v>1</v>
      </c>
      <c r="CH289" t="s">
        <v>805</v>
      </c>
      <c r="CI289" s="6">
        <v>0.4</v>
      </c>
      <c r="CJ289" s="9" t="s">
        <v>1</v>
      </c>
      <c r="CK289" s="9" t="s">
        <v>1</v>
      </c>
      <c r="CL289" s="4" t="s">
        <v>1</v>
      </c>
      <c r="CM289" t="s">
        <v>847</v>
      </c>
      <c r="CN289" s="4">
        <f>28.4/27.2*AVERAGE(218,645)</f>
        <v>450.53676470588238</v>
      </c>
      <c r="CO289" s="4" t="s">
        <v>1</v>
      </c>
      <c r="CP289" s="4" t="s">
        <v>1</v>
      </c>
      <c r="CQ289" s="4" t="s">
        <v>1</v>
      </c>
      <c r="CR289" s="4" t="s">
        <v>1</v>
      </c>
      <c r="CS289" s="4" t="s">
        <v>1</v>
      </c>
      <c r="CT289" s="4" t="s">
        <v>1</v>
      </c>
      <c r="CU289" s="4" t="s">
        <v>1</v>
      </c>
      <c r="CV289" t="s">
        <v>849</v>
      </c>
      <c r="CW289">
        <v>100</v>
      </c>
      <c r="CX289">
        <v>0</v>
      </c>
      <c r="CY289">
        <v>30</v>
      </c>
      <c r="CZ289" s="26" t="s">
        <v>1358</v>
      </c>
      <c r="DA289" t="s">
        <v>734</v>
      </c>
      <c r="DB289">
        <v>34.299999999999997</v>
      </c>
      <c r="DC289">
        <v>0</v>
      </c>
      <c r="DD289">
        <v>30</v>
      </c>
      <c r="DE289" s="26" t="s">
        <v>1358</v>
      </c>
      <c r="DF289" t="s">
        <v>735</v>
      </c>
      <c r="DG289">
        <v>24.7</v>
      </c>
      <c r="DH289">
        <v>0</v>
      </c>
      <c r="DI289">
        <v>30</v>
      </c>
      <c r="DJ289" s="26" t="s">
        <v>1358</v>
      </c>
      <c r="DK289" t="s">
        <v>736</v>
      </c>
      <c r="DL289">
        <v>41</v>
      </c>
      <c r="DM289">
        <v>0</v>
      </c>
      <c r="DN289">
        <v>30</v>
      </c>
      <c r="DO289" s="26" t="s">
        <v>1358</v>
      </c>
      <c r="DP289" t="s">
        <v>6</v>
      </c>
      <c r="DQ289" t="s">
        <v>813</v>
      </c>
      <c r="DR289">
        <v>5.6</v>
      </c>
      <c r="DS289">
        <v>0</v>
      </c>
      <c r="DT289">
        <v>30</v>
      </c>
      <c r="DU289" s="26" t="s">
        <v>1358</v>
      </c>
      <c r="EA289" t="s">
        <v>982</v>
      </c>
      <c r="EB289">
        <v>17.5</v>
      </c>
      <c r="EC289">
        <v>0</v>
      </c>
      <c r="ED289">
        <v>30</v>
      </c>
      <c r="EE289" s="26" t="s">
        <v>1358</v>
      </c>
      <c r="EF289" s="26"/>
      <c r="FZ289" t="s">
        <v>806</v>
      </c>
      <c r="GA289">
        <v>2755</v>
      </c>
      <c r="GE289" s="26" t="s">
        <v>1358</v>
      </c>
      <c r="HA289" s="5" t="s">
        <v>1069</v>
      </c>
      <c r="HB289" s="4">
        <v>9.1666666666666661</v>
      </c>
      <c r="HC289">
        <v>0</v>
      </c>
      <c r="HD289">
        <v>30</v>
      </c>
      <c r="HE289" s="26" t="s">
        <v>1358</v>
      </c>
      <c r="HF289" s="5" t="s">
        <v>1</v>
      </c>
      <c r="HG289" s="4" t="s">
        <v>1</v>
      </c>
      <c r="HH289" t="s">
        <v>1</v>
      </c>
      <c r="HI289" t="s">
        <v>1</v>
      </c>
      <c r="HJ289" t="s">
        <v>1</v>
      </c>
      <c r="HK289" t="s">
        <v>1</v>
      </c>
      <c r="HL289" t="s">
        <v>1</v>
      </c>
      <c r="HM289" t="s">
        <v>1</v>
      </c>
      <c r="HN289" t="s">
        <v>1</v>
      </c>
      <c r="HO289" t="s">
        <v>1</v>
      </c>
      <c r="HP289" t="s">
        <v>1</v>
      </c>
      <c r="HZ289" t="s">
        <v>969</v>
      </c>
      <c r="IA289">
        <v>600</v>
      </c>
      <c r="IB289" s="10" t="s">
        <v>1</v>
      </c>
      <c r="IC289" s="10"/>
      <c r="ID289" s="10"/>
      <c r="IE289" s="10" t="s">
        <v>1</v>
      </c>
      <c r="IF289" s="10" t="s">
        <v>1</v>
      </c>
      <c r="IG289" s="10"/>
      <c r="IH289" s="10"/>
      <c r="II289" s="10"/>
      <c r="IJ289" s="10"/>
      <c r="IK289" s="10"/>
      <c r="IL289" s="10"/>
      <c r="IM289" s="10"/>
      <c r="IN289" s="10"/>
      <c r="IO289" s="10"/>
      <c r="IP289" s="10"/>
      <c r="IQ289" s="10"/>
      <c r="IR289" s="10"/>
      <c r="IS289" t="s">
        <v>1</v>
      </c>
      <c r="IT289" t="s">
        <v>1</v>
      </c>
      <c r="IW289" t="s">
        <v>1</v>
      </c>
      <c r="IX289" t="s">
        <v>1</v>
      </c>
      <c r="IY289" t="s">
        <v>808</v>
      </c>
      <c r="IZ289">
        <v>4750</v>
      </c>
      <c r="JA289" t="s">
        <v>1</v>
      </c>
      <c r="JB289" s="3" t="s">
        <v>1</v>
      </c>
      <c r="JC289" t="s">
        <v>1</v>
      </c>
      <c r="JD289" s="4" t="s">
        <v>1</v>
      </c>
      <c r="JE289" t="s">
        <v>1</v>
      </c>
      <c r="JF289" t="s">
        <v>1</v>
      </c>
      <c r="JR289" t="s">
        <v>1066</v>
      </c>
      <c r="JS289">
        <v>2359.4</v>
      </c>
      <c r="JU289" t="s">
        <v>1</v>
      </c>
      <c r="JW289" t="s">
        <v>1</v>
      </c>
      <c r="JX289">
        <v>0</v>
      </c>
      <c r="JY289">
        <v>100</v>
      </c>
      <c r="JZ289" t="s">
        <v>800</v>
      </c>
      <c r="KA289" t="s">
        <v>308</v>
      </c>
      <c r="KB289" t="s">
        <v>738</v>
      </c>
      <c r="KC289" t="s">
        <v>1</v>
      </c>
      <c r="KD289" t="s">
        <v>1</v>
      </c>
      <c r="KE289" s="1" t="s">
        <v>1</v>
      </c>
      <c r="KF289" t="s">
        <v>1</v>
      </c>
      <c r="KG289" t="s">
        <v>1</v>
      </c>
      <c r="KH289" t="s">
        <v>1</v>
      </c>
      <c r="KI289" t="s">
        <v>1</v>
      </c>
      <c r="KJ289" t="s">
        <v>1</v>
      </c>
      <c r="KK289" t="s">
        <v>1</v>
      </c>
    </row>
    <row r="290" spans="1:297" x14ac:dyDescent="0.2">
      <c r="A290">
        <v>258</v>
      </c>
      <c r="B290" t="s">
        <v>705</v>
      </c>
      <c r="C290" t="s">
        <v>105</v>
      </c>
      <c r="D290" t="s">
        <v>691</v>
      </c>
      <c r="E290">
        <v>45</v>
      </c>
      <c r="F290" t="s">
        <v>311</v>
      </c>
      <c r="G290" t="s">
        <v>1</v>
      </c>
      <c r="H290" s="26" t="s">
        <v>1420</v>
      </c>
      <c r="I290" t="s">
        <v>1</v>
      </c>
      <c r="J290" t="s">
        <v>1</v>
      </c>
      <c r="K290" t="s">
        <v>1</v>
      </c>
      <c r="L290" t="s">
        <v>1</v>
      </c>
      <c r="M290" t="s">
        <v>1</v>
      </c>
      <c r="N290" t="s">
        <v>1</v>
      </c>
      <c r="O290" t="s">
        <v>1</v>
      </c>
      <c r="P290" t="s">
        <v>1</v>
      </c>
      <c r="Q290" t="s">
        <v>1</v>
      </c>
      <c r="R290" t="s">
        <v>1</v>
      </c>
      <c r="S290" t="s">
        <v>1</v>
      </c>
      <c r="T290" t="s">
        <v>1</v>
      </c>
      <c r="U290" t="s">
        <v>1</v>
      </c>
      <c r="V290" t="s">
        <v>1</v>
      </c>
      <c r="W290" t="s">
        <v>1</v>
      </c>
      <c r="X290" t="s">
        <v>1</v>
      </c>
      <c r="Y290" t="s">
        <v>1</v>
      </c>
      <c r="Z290" t="s">
        <v>1</v>
      </c>
      <c r="AA290" t="s">
        <v>1</v>
      </c>
      <c r="AB290" t="s">
        <v>1</v>
      </c>
      <c r="AC290" t="s">
        <v>1</v>
      </c>
      <c r="AD290" t="s">
        <v>1</v>
      </c>
      <c r="AE290" t="s">
        <v>1</v>
      </c>
      <c r="AF290" t="s">
        <v>1</v>
      </c>
      <c r="AG290" t="s">
        <v>1</v>
      </c>
      <c r="AH290" t="s">
        <v>1</v>
      </c>
      <c r="AI290" t="s">
        <v>1</v>
      </c>
      <c r="AJ290" t="s">
        <v>1</v>
      </c>
      <c r="AK290" t="s">
        <v>1</v>
      </c>
      <c r="AL290" t="s">
        <v>1</v>
      </c>
      <c r="AM290" t="s">
        <v>1</v>
      </c>
      <c r="AN290">
        <v>258</v>
      </c>
      <c r="AO290">
        <f t="shared" si="36"/>
        <v>258</v>
      </c>
      <c r="AP290">
        <f t="shared" si="40"/>
        <v>45</v>
      </c>
      <c r="AQ290">
        <f t="shared" si="41"/>
        <v>45</v>
      </c>
      <c r="AR290" s="26" t="s">
        <v>1355</v>
      </c>
      <c r="AS290" s="26" t="s">
        <v>1356</v>
      </c>
      <c r="AT290" t="s">
        <v>712</v>
      </c>
      <c r="AU290" t="s">
        <v>1</v>
      </c>
      <c r="AV290" t="s">
        <v>1</v>
      </c>
      <c r="AW290">
        <v>49.9</v>
      </c>
      <c r="AX290">
        <v>-99.35</v>
      </c>
      <c r="AY290" t="s">
        <v>737</v>
      </c>
      <c r="BA290" s="3">
        <v>4</v>
      </c>
      <c r="BB290" s="3"/>
      <c r="BC290" s="3"/>
      <c r="BD290" s="3"/>
      <c r="BE290" s="3"/>
      <c r="BF290">
        <v>2004</v>
      </c>
      <c r="BG290" s="24" t="s">
        <v>733</v>
      </c>
      <c r="BH290" s="24" t="s">
        <v>733</v>
      </c>
      <c r="BI290" s="24" t="s">
        <v>733</v>
      </c>
      <c r="BJ290" s="24" t="s">
        <v>732</v>
      </c>
      <c r="BK290" s="24" t="s">
        <v>733</v>
      </c>
      <c r="BL290" s="25" t="s">
        <v>733</v>
      </c>
      <c r="BM290" s="24" t="s">
        <v>733</v>
      </c>
      <c r="BN290" s="24" t="s">
        <v>732</v>
      </c>
      <c r="BO290" s="24" t="s">
        <v>733</v>
      </c>
      <c r="BP290" s="24" t="s">
        <v>733</v>
      </c>
      <c r="BQ290" s="24" t="s">
        <v>945</v>
      </c>
      <c r="BR290" s="24" t="s">
        <v>945</v>
      </c>
      <c r="BS290" s="25" t="s">
        <v>934</v>
      </c>
      <c r="BT290" s="24" t="s">
        <v>934</v>
      </c>
      <c r="BU290" s="24" t="s">
        <v>934</v>
      </c>
      <c r="BV290" s="24" t="s">
        <v>934</v>
      </c>
      <c r="BW290" s="24" t="s">
        <v>934</v>
      </c>
      <c r="BX290" s="24" t="s">
        <v>934</v>
      </c>
      <c r="BY290" s="25" t="s">
        <v>945</v>
      </c>
      <c r="BZ290" t="s">
        <v>62</v>
      </c>
      <c r="CB290" t="s">
        <v>312</v>
      </c>
      <c r="CC290" s="4">
        <v>1577</v>
      </c>
      <c r="CD290" s="4"/>
      <c r="CE290" s="4"/>
      <c r="CF290" t="s">
        <v>793</v>
      </c>
      <c r="CG290">
        <v>100</v>
      </c>
      <c r="CH290" t="s">
        <v>805</v>
      </c>
      <c r="CI290" s="28">
        <v>1.2</v>
      </c>
      <c r="CJ290" s="9" t="s">
        <v>1</v>
      </c>
      <c r="CK290" t="s">
        <v>807</v>
      </c>
      <c r="CL290" s="4">
        <v>2030</v>
      </c>
      <c r="CM290" t="s">
        <v>847</v>
      </c>
      <c r="CN290" s="4">
        <v>55.56</v>
      </c>
      <c r="CO290" s="4" t="s">
        <v>1</v>
      </c>
      <c r="CP290" s="4" t="s">
        <v>1</v>
      </c>
      <c r="CQ290" s="4" t="s">
        <v>1</v>
      </c>
      <c r="CR290" s="4" t="s">
        <v>1</v>
      </c>
      <c r="CS290" s="4" t="s">
        <v>1</v>
      </c>
      <c r="CT290" s="4" t="s">
        <v>1</v>
      </c>
      <c r="CU290" s="4" t="s">
        <v>1</v>
      </c>
      <c r="CV290" t="s">
        <v>852</v>
      </c>
      <c r="CW290">
        <v>100</v>
      </c>
      <c r="CX290" s="28">
        <v>0</v>
      </c>
      <c r="CY290" s="28">
        <v>30</v>
      </c>
      <c r="CZ290" s="26" t="s">
        <v>1358</v>
      </c>
      <c r="DA290" t="s">
        <v>734</v>
      </c>
      <c r="DB290" s="28">
        <f>73.5/1.02</f>
        <v>72.058823529411768</v>
      </c>
      <c r="DC290" s="28">
        <v>0</v>
      </c>
      <c r="DD290" s="28">
        <v>30</v>
      </c>
      <c r="DE290" s="26" t="s">
        <v>1358</v>
      </c>
      <c r="DF290" t="s">
        <v>735</v>
      </c>
      <c r="DG290" s="28">
        <f>13.9/1.02</f>
        <v>13.627450980392156</v>
      </c>
      <c r="DH290" s="28">
        <v>0</v>
      </c>
      <c r="DI290" s="28">
        <v>30</v>
      </c>
      <c r="DJ290" s="26" t="s">
        <v>1358</v>
      </c>
      <c r="DK290" t="s">
        <v>736</v>
      </c>
      <c r="DL290" s="28">
        <f>14.6/1.02</f>
        <v>14.313725490196077</v>
      </c>
      <c r="DM290" s="28">
        <v>0</v>
      </c>
      <c r="DN290" s="28">
        <v>30</v>
      </c>
      <c r="DO290" s="26" t="s">
        <v>1358</v>
      </c>
      <c r="DP290" t="s">
        <v>6</v>
      </c>
      <c r="DQ290" t="s">
        <v>1</v>
      </c>
      <c r="DR290">
        <v>6.7</v>
      </c>
      <c r="DS290" s="28">
        <v>0</v>
      </c>
      <c r="DT290" s="28">
        <v>30</v>
      </c>
      <c r="DU290" s="26" t="s">
        <v>1358</v>
      </c>
      <c r="DX290" s="28"/>
      <c r="DY290" s="28"/>
      <c r="DZ290" s="28"/>
      <c r="EA290" t="s">
        <v>982</v>
      </c>
      <c r="EB290">
        <v>18.400000000000002</v>
      </c>
      <c r="EC290" s="28">
        <v>0</v>
      </c>
      <c r="ED290" s="28">
        <v>30</v>
      </c>
      <c r="EE290" s="26" t="s">
        <v>1358</v>
      </c>
      <c r="EF290" s="26"/>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28"/>
      <c r="FP290" s="28"/>
      <c r="FQ290" s="28"/>
      <c r="FR290" s="28"/>
      <c r="FS290" s="28"/>
      <c r="FT290" s="28"/>
      <c r="FU290" s="28"/>
      <c r="FV290" s="28"/>
      <c r="FW290" s="28"/>
      <c r="FX290" s="28"/>
      <c r="FY290" s="28"/>
      <c r="FZ290" t="s">
        <v>806</v>
      </c>
      <c r="GA290">
        <v>419.33333329999999</v>
      </c>
      <c r="GE290" s="26" t="s">
        <v>1358</v>
      </c>
      <c r="HA290" s="5" t="s">
        <v>1</v>
      </c>
      <c r="HB290" s="4" t="s">
        <v>1</v>
      </c>
      <c r="HC290" t="s">
        <v>1</v>
      </c>
      <c r="HD290" t="s">
        <v>1</v>
      </c>
      <c r="HE290" t="s">
        <v>1</v>
      </c>
      <c r="HF290" s="5" t="s">
        <v>1</v>
      </c>
      <c r="HG290" s="4" t="s">
        <v>1</v>
      </c>
      <c r="HH290" t="s">
        <v>1</v>
      </c>
      <c r="HI290" t="s">
        <v>1</v>
      </c>
      <c r="HJ290" t="s">
        <v>1</v>
      </c>
      <c r="HK290" t="s">
        <v>815</v>
      </c>
      <c r="HL290" s="34">
        <v>1.3933333333333333</v>
      </c>
      <c r="HM290" s="28">
        <v>0</v>
      </c>
      <c r="HN290" s="28">
        <v>30</v>
      </c>
      <c r="HO290" t="s">
        <v>1</v>
      </c>
      <c r="HP290" s="26" t="s">
        <v>1358</v>
      </c>
      <c r="HZ290" t="s">
        <v>1</v>
      </c>
      <c r="IA290" t="s">
        <v>1</v>
      </c>
      <c r="IB290" s="10" t="s">
        <v>1</v>
      </c>
      <c r="IC290" s="10"/>
      <c r="ID290" s="10"/>
      <c r="IE290" s="10" t="s">
        <v>1</v>
      </c>
      <c r="IF290" s="10" t="s">
        <v>1</v>
      </c>
      <c r="IG290" s="10"/>
      <c r="IH290" s="10"/>
      <c r="II290" s="10"/>
      <c r="IJ290" s="10"/>
      <c r="IK290" s="10"/>
      <c r="IL290" s="10"/>
      <c r="IM290" s="10"/>
      <c r="IN290" s="10"/>
      <c r="IO290" s="10"/>
      <c r="IP290" s="10"/>
      <c r="IQ290" s="10"/>
      <c r="IR290" s="10"/>
      <c r="IS290" t="s">
        <v>1</v>
      </c>
      <c r="IT290" t="s">
        <v>1</v>
      </c>
      <c r="IW290" t="s">
        <v>1</v>
      </c>
      <c r="IX290" t="s">
        <v>1</v>
      </c>
      <c r="IY290" t="s">
        <v>1</v>
      </c>
      <c r="IZ290" t="s">
        <v>1</v>
      </c>
      <c r="JA290" t="s">
        <v>1</v>
      </c>
      <c r="JB290" s="3" t="s">
        <v>1</v>
      </c>
      <c r="JC290" t="s">
        <v>1</v>
      </c>
      <c r="JD290" s="4" t="s">
        <v>1</v>
      </c>
      <c r="JE290" t="s">
        <v>810</v>
      </c>
      <c r="JF290">
        <v>100</v>
      </c>
      <c r="JR290" t="s">
        <v>1066</v>
      </c>
      <c r="JS290">
        <v>27.7</v>
      </c>
      <c r="JU290" t="s">
        <v>1</v>
      </c>
      <c r="JW290" t="s">
        <v>1</v>
      </c>
      <c r="JX290">
        <v>0</v>
      </c>
      <c r="JY290">
        <v>106.69999999999999</v>
      </c>
      <c r="JZ290" t="s">
        <v>796</v>
      </c>
      <c r="KA290" t="s">
        <v>313</v>
      </c>
      <c r="KB290" t="s">
        <v>738</v>
      </c>
      <c r="KC290" t="s">
        <v>1</v>
      </c>
      <c r="KD290" t="s">
        <v>1</v>
      </c>
      <c r="KE290" s="1" t="s">
        <v>1</v>
      </c>
      <c r="KF290" t="s">
        <v>1</v>
      </c>
      <c r="KG290" t="s">
        <v>1</v>
      </c>
      <c r="KH290" t="s">
        <v>1</v>
      </c>
      <c r="KI290" t="s">
        <v>1</v>
      </c>
      <c r="KJ290" t="s">
        <v>1</v>
      </c>
      <c r="KK290" t="s">
        <v>1</v>
      </c>
    </row>
    <row r="291" spans="1:297" x14ac:dyDescent="0.2">
      <c r="A291">
        <v>259</v>
      </c>
      <c r="B291" t="s">
        <v>705</v>
      </c>
      <c r="C291" t="s">
        <v>314</v>
      </c>
      <c r="D291" t="s">
        <v>691</v>
      </c>
      <c r="E291">
        <v>45</v>
      </c>
      <c r="F291" t="s">
        <v>311</v>
      </c>
      <c r="G291" t="s">
        <v>1</v>
      </c>
      <c r="H291" s="26" t="s">
        <v>1420</v>
      </c>
      <c r="I291" t="s">
        <v>1</v>
      </c>
      <c r="J291" t="s">
        <v>1</v>
      </c>
      <c r="K291" t="s">
        <v>1</v>
      </c>
      <c r="L291" t="s">
        <v>1</v>
      </c>
      <c r="M291" t="s">
        <v>1</v>
      </c>
      <c r="N291" t="s">
        <v>1</v>
      </c>
      <c r="O291" t="s">
        <v>1</v>
      </c>
      <c r="P291" t="s">
        <v>1</v>
      </c>
      <c r="Q291" t="s">
        <v>1</v>
      </c>
      <c r="R291" t="s">
        <v>1</v>
      </c>
      <c r="S291" t="s">
        <v>1</v>
      </c>
      <c r="T291" t="s">
        <v>1</v>
      </c>
      <c r="U291" t="s">
        <v>1</v>
      </c>
      <c r="V291" t="s">
        <v>1</v>
      </c>
      <c r="W291" t="s">
        <v>1</v>
      </c>
      <c r="X291" t="s">
        <v>1</v>
      </c>
      <c r="Y291" t="s">
        <v>1</v>
      </c>
      <c r="Z291" t="s">
        <v>1</v>
      </c>
      <c r="AA291" t="s">
        <v>1</v>
      </c>
      <c r="AB291" t="s">
        <v>1</v>
      </c>
      <c r="AC291" t="s">
        <v>1</v>
      </c>
      <c r="AD291" t="s">
        <v>1</v>
      </c>
      <c r="AE291" t="s">
        <v>1</v>
      </c>
      <c r="AF291" t="s">
        <v>1</v>
      </c>
      <c r="AG291" t="s">
        <v>1</v>
      </c>
      <c r="AH291" t="s">
        <v>1</v>
      </c>
      <c r="AI291" t="s">
        <v>1</v>
      </c>
      <c r="AJ291" t="s">
        <v>1</v>
      </c>
      <c r="AK291" t="s">
        <v>1</v>
      </c>
      <c r="AL291" t="s">
        <v>1</v>
      </c>
      <c r="AM291" t="s">
        <v>1</v>
      </c>
      <c r="AN291">
        <v>259</v>
      </c>
      <c r="AO291">
        <f t="shared" si="36"/>
        <v>259</v>
      </c>
      <c r="AP291">
        <f t="shared" si="40"/>
        <v>45</v>
      </c>
      <c r="AQ291">
        <f t="shared" si="41"/>
        <v>45</v>
      </c>
      <c r="AR291" s="26" t="s">
        <v>1355</v>
      </c>
      <c r="AS291" s="26" t="s">
        <v>1356</v>
      </c>
      <c r="AT291" t="s">
        <v>712</v>
      </c>
      <c r="AU291" t="s">
        <v>1</v>
      </c>
      <c r="AV291" t="s">
        <v>1</v>
      </c>
      <c r="AW291">
        <v>49.9</v>
      </c>
      <c r="AX291">
        <v>-99.35</v>
      </c>
      <c r="AY291" t="s">
        <v>737</v>
      </c>
      <c r="BA291" s="3">
        <v>4</v>
      </c>
      <c r="BB291" s="3"/>
      <c r="BC291" s="3"/>
      <c r="BD291" s="3"/>
      <c r="BE291" s="3"/>
      <c r="BF291">
        <v>2004</v>
      </c>
      <c r="BG291" s="24" t="s">
        <v>733</v>
      </c>
      <c r="BH291" s="24" t="s">
        <v>733</v>
      </c>
      <c r="BI291" s="24" t="s">
        <v>733</v>
      </c>
      <c r="BJ291" s="24" t="s">
        <v>732</v>
      </c>
      <c r="BK291" s="24" t="s">
        <v>733</v>
      </c>
      <c r="BL291" s="25" t="s">
        <v>733</v>
      </c>
      <c r="BM291" s="24" t="s">
        <v>733</v>
      </c>
      <c r="BN291" s="24" t="s">
        <v>732</v>
      </c>
      <c r="BO291" s="24" t="s">
        <v>733</v>
      </c>
      <c r="BP291" s="24" t="s">
        <v>733</v>
      </c>
      <c r="BQ291" s="24" t="s">
        <v>945</v>
      </c>
      <c r="BR291" s="24" t="s">
        <v>945</v>
      </c>
      <c r="BS291" s="25" t="s">
        <v>934</v>
      </c>
      <c r="BT291" s="24" t="s">
        <v>934</v>
      </c>
      <c r="BU291" s="24" t="s">
        <v>934</v>
      </c>
      <c r="BV291" s="24" t="s">
        <v>934</v>
      </c>
      <c r="BW291" s="24" t="s">
        <v>934</v>
      </c>
      <c r="BX291" s="24" t="s">
        <v>934</v>
      </c>
      <c r="BY291" s="25" t="s">
        <v>945</v>
      </c>
      <c r="BZ291" t="s">
        <v>62</v>
      </c>
      <c r="CB291" t="s">
        <v>312</v>
      </c>
      <c r="CC291" s="4">
        <v>1752</v>
      </c>
      <c r="CD291" s="4"/>
      <c r="CE291" s="4"/>
      <c r="CF291" t="s">
        <v>793</v>
      </c>
      <c r="CG291">
        <v>100</v>
      </c>
      <c r="CH291" t="s">
        <v>805</v>
      </c>
      <c r="CI291" s="28">
        <v>1.2</v>
      </c>
      <c r="CJ291" s="9" t="s">
        <v>1</v>
      </c>
      <c r="CK291" t="s">
        <v>807</v>
      </c>
      <c r="CL291" s="4">
        <v>2562</v>
      </c>
      <c r="CM291" t="s">
        <v>847</v>
      </c>
      <c r="CN291" s="4">
        <v>64.16</v>
      </c>
      <c r="CO291" s="4" t="s">
        <v>1</v>
      </c>
      <c r="CP291" s="4" t="s">
        <v>1</v>
      </c>
      <c r="CQ291" s="4" t="s">
        <v>1</v>
      </c>
      <c r="CR291" s="4" t="s">
        <v>1</v>
      </c>
      <c r="CS291" s="4" t="s">
        <v>1</v>
      </c>
      <c r="CT291" s="4" t="s">
        <v>1</v>
      </c>
      <c r="CU291" s="4" t="s">
        <v>1</v>
      </c>
      <c r="CV291" t="s">
        <v>852</v>
      </c>
      <c r="CW291">
        <v>100</v>
      </c>
      <c r="CX291" s="28">
        <v>0</v>
      </c>
      <c r="CY291" s="28">
        <v>30</v>
      </c>
      <c r="CZ291" s="26" t="s">
        <v>1358</v>
      </c>
      <c r="DA291" t="s">
        <v>734</v>
      </c>
      <c r="DB291" s="28">
        <f t="shared" ref="DB291:DB293" si="42">73.5/1.02</f>
        <v>72.058823529411768</v>
      </c>
      <c r="DC291" s="28">
        <v>0</v>
      </c>
      <c r="DD291" s="28">
        <v>30</v>
      </c>
      <c r="DE291" s="26" t="s">
        <v>1358</v>
      </c>
      <c r="DF291" t="s">
        <v>735</v>
      </c>
      <c r="DG291" s="28">
        <f t="shared" ref="DG291:DG293" si="43">13.9/1.02</f>
        <v>13.627450980392156</v>
      </c>
      <c r="DH291" s="28">
        <v>0</v>
      </c>
      <c r="DI291" s="28">
        <v>30</v>
      </c>
      <c r="DJ291" s="26" t="s">
        <v>1358</v>
      </c>
      <c r="DK291" t="s">
        <v>736</v>
      </c>
      <c r="DL291" s="28">
        <f t="shared" ref="DL291:DL293" si="44">14.6/1.02</f>
        <v>14.313725490196077</v>
      </c>
      <c r="DM291" s="28">
        <v>0</v>
      </c>
      <c r="DN291" s="28">
        <v>30</v>
      </c>
      <c r="DO291" s="26" t="s">
        <v>1358</v>
      </c>
      <c r="DP291" t="s">
        <v>6</v>
      </c>
      <c r="DQ291" t="s">
        <v>1</v>
      </c>
      <c r="DR291">
        <v>6.7</v>
      </c>
      <c r="DS291" s="28">
        <v>0</v>
      </c>
      <c r="DT291" s="28">
        <v>30</v>
      </c>
      <c r="DU291" s="26" t="s">
        <v>1358</v>
      </c>
      <c r="DX291" s="28"/>
      <c r="DY291" s="28"/>
      <c r="DZ291" s="28"/>
      <c r="EA291" t="s">
        <v>982</v>
      </c>
      <c r="EB291">
        <v>18.400000000000002</v>
      </c>
      <c r="EC291" s="28">
        <v>0</v>
      </c>
      <c r="ED291" s="28">
        <v>30</v>
      </c>
      <c r="EE291" s="26" t="s">
        <v>1358</v>
      </c>
      <c r="EF291" s="26"/>
      <c r="EI291" s="28"/>
      <c r="EJ291" s="28"/>
      <c r="EK291" s="28"/>
      <c r="EL291" s="28"/>
      <c r="EM291" s="28"/>
      <c r="EN291" s="28"/>
      <c r="EO291" s="28"/>
      <c r="EP291" s="28"/>
      <c r="EQ291" s="28"/>
      <c r="ER291" s="28"/>
      <c r="ES291" s="28"/>
      <c r="ET291" s="28"/>
      <c r="EU291" s="28"/>
      <c r="EV291" s="28"/>
      <c r="EW291" s="28"/>
      <c r="EX291" s="28"/>
      <c r="EY291" s="28"/>
      <c r="EZ291" s="28"/>
      <c r="FA291" s="28"/>
      <c r="FB291" s="28"/>
      <c r="FC291" s="28"/>
      <c r="FD291" s="28"/>
      <c r="FE291" s="28"/>
      <c r="FF291" s="28"/>
      <c r="FG291" s="28"/>
      <c r="FH291" s="28"/>
      <c r="FI291" s="28"/>
      <c r="FJ291" s="28"/>
      <c r="FK291" s="28"/>
      <c r="FL291" s="28"/>
      <c r="FM291" s="28"/>
      <c r="FN291" s="28"/>
      <c r="FO291" s="28"/>
      <c r="FP291" s="28"/>
      <c r="FQ291" s="28"/>
      <c r="FR291" s="28"/>
      <c r="FS291" s="28"/>
      <c r="FT291" s="28"/>
      <c r="FU291" s="28"/>
      <c r="FV291" s="28"/>
      <c r="FW291" s="28"/>
      <c r="FX291" s="28"/>
      <c r="FY291" s="28"/>
      <c r="FZ291" t="s">
        <v>806</v>
      </c>
      <c r="GA291">
        <v>419.33333329999999</v>
      </c>
      <c r="GE291" s="26" t="s">
        <v>1358</v>
      </c>
      <c r="HA291" s="5" t="s">
        <v>1</v>
      </c>
      <c r="HB291" s="4" t="s">
        <v>1</v>
      </c>
      <c r="HC291" t="s">
        <v>1</v>
      </c>
      <c r="HD291" t="s">
        <v>1</v>
      </c>
      <c r="HE291" t="s">
        <v>1</v>
      </c>
      <c r="HF291" s="5" t="s">
        <v>1</v>
      </c>
      <c r="HG291" s="4" t="s">
        <v>1</v>
      </c>
      <c r="HH291" t="s">
        <v>1</v>
      </c>
      <c r="HI291" t="s">
        <v>1</v>
      </c>
      <c r="HJ291" t="s">
        <v>1</v>
      </c>
      <c r="HK291" t="s">
        <v>815</v>
      </c>
      <c r="HL291" s="34">
        <v>1.3933333333333333</v>
      </c>
      <c r="HM291" s="28">
        <v>0</v>
      </c>
      <c r="HN291" s="28">
        <v>30</v>
      </c>
      <c r="HO291" t="s">
        <v>1</v>
      </c>
      <c r="HP291" s="26" t="s">
        <v>1358</v>
      </c>
      <c r="HZ291" t="s">
        <v>1</v>
      </c>
      <c r="IA291" t="s">
        <v>1</v>
      </c>
      <c r="IB291" s="10" t="s">
        <v>1</v>
      </c>
      <c r="IC291" s="10"/>
      <c r="ID291" s="10"/>
      <c r="IE291" s="10" t="s">
        <v>1</v>
      </c>
      <c r="IF291" s="10" t="s">
        <v>1</v>
      </c>
      <c r="IG291" s="10"/>
      <c r="IH291" s="10"/>
      <c r="II291" s="10"/>
      <c r="IJ291" s="10"/>
      <c r="IK291" s="10"/>
      <c r="IL291" s="10"/>
      <c r="IM291" s="10"/>
      <c r="IN291" s="10"/>
      <c r="IO291" s="10"/>
      <c r="IP291" s="10"/>
      <c r="IQ291" s="10"/>
      <c r="IR291" s="10"/>
      <c r="IS291" t="s">
        <v>1</v>
      </c>
      <c r="IT291" t="s">
        <v>1</v>
      </c>
      <c r="IW291" t="s">
        <v>979</v>
      </c>
      <c r="IX291">
        <v>64</v>
      </c>
      <c r="IY291" t="s">
        <v>1</v>
      </c>
      <c r="IZ291" t="s">
        <v>1</v>
      </c>
      <c r="JA291" t="s">
        <v>1</v>
      </c>
      <c r="JB291" s="3" t="s">
        <v>1</v>
      </c>
      <c r="JC291" t="s">
        <v>1</v>
      </c>
      <c r="JD291" s="4" t="s">
        <v>1</v>
      </c>
      <c r="JE291" t="s">
        <v>810</v>
      </c>
      <c r="JF291">
        <v>100</v>
      </c>
      <c r="JR291" t="s">
        <v>1066</v>
      </c>
      <c r="JS291">
        <v>69.3</v>
      </c>
      <c r="JU291" t="s">
        <v>1</v>
      </c>
      <c r="JW291" t="s">
        <v>1</v>
      </c>
      <c r="JX291">
        <v>0</v>
      </c>
      <c r="JY291">
        <v>106.69999999999999</v>
      </c>
      <c r="JZ291" t="s">
        <v>796</v>
      </c>
      <c r="KA291" t="s">
        <v>313</v>
      </c>
      <c r="KB291" t="s">
        <v>738</v>
      </c>
      <c r="KC291" t="s">
        <v>1</v>
      </c>
      <c r="KD291" t="s">
        <v>1</v>
      </c>
      <c r="KE291" s="1" t="s">
        <v>1</v>
      </c>
      <c r="KF291" t="s">
        <v>1</v>
      </c>
      <c r="KG291" t="s">
        <v>1</v>
      </c>
      <c r="KH291" t="s">
        <v>1</v>
      </c>
      <c r="KI291" t="s">
        <v>1</v>
      </c>
      <c r="KJ291" t="s">
        <v>1</v>
      </c>
      <c r="KK291" t="s">
        <v>1</v>
      </c>
    </row>
    <row r="292" spans="1:297" x14ac:dyDescent="0.2">
      <c r="A292">
        <v>260</v>
      </c>
      <c r="B292" t="s">
        <v>705</v>
      </c>
      <c r="C292" t="s">
        <v>315</v>
      </c>
      <c r="D292" t="s">
        <v>691</v>
      </c>
      <c r="E292">
        <v>45</v>
      </c>
      <c r="F292" t="s">
        <v>311</v>
      </c>
      <c r="G292" t="s">
        <v>1</v>
      </c>
      <c r="H292" s="26" t="s">
        <v>1420</v>
      </c>
      <c r="I292" t="s">
        <v>1</v>
      </c>
      <c r="J292" t="s">
        <v>1</v>
      </c>
      <c r="K292" t="s">
        <v>1</v>
      </c>
      <c r="L292" t="s">
        <v>1</v>
      </c>
      <c r="M292" t="s">
        <v>1</v>
      </c>
      <c r="N292" t="s">
        <v>1</v>
      </c>
      <c r="O292" t="s">
        <v>1</v>
      </c>
      <c r="P292" t="s">
        <v>1</v>
      </c>
      <c r="Q292" t="s">
        <v>1</v>
      </c>
      <c r="R292" t="s">
        <v>1</v>
      </c>
      <c r="S292" t="s">
        <v>1</v>
      </c>
      <c r="T292" t="s">
        <v>1</v>
      </c>
      <c r="U292" t="s">
        <v>1</v>
      </c>
      <c r="V292" t="s">
        <v>1</v>
      </c>
      <c r="W292" t="s">
        <v>1</v>
      </c>
      <c r="X292" t="s">
        <v>1</v>
      </c>
      <c r="Y292" t="s">
        <v>1</v>
      </c>
      <c r="Z292" t="s">
        <v>1</v>
      </c>
      <c r="AA292" t="s">
        <v>1</v>
      </c>
      <c r="AB292" t="s">
        <v>1</v>
      </c>
      <c r="AC292" t="s">
        <v>1</v>
      </c>
      <c r="AD292" t="s">
        <v>1</v>
      </c>
      <c r="AE292" t="s">
        <v>1</v>
      </c>
      <c r="AF292" t="s">
        <v>1</v>
      </c>
      <c r="AG292" t="s">
        <v>1</v>
      </c>
      <c r="AH292" t="s">
        <v>1</v>
      </c>
      <c r="AI292" t="s">
        <v>1</v>
      </c>
      <c r="AJ292" t="s">
        <v>1</v>
      </c>
      <c r="AK292" t="s">
        <v>1</v>
      </c>
      <c r="AL292" t="s">
        <v>1</v>
      </c>
      <c r="AM292" t="s">
        <v>1</v>
      </c>
      <c r="AN292">
        <v>260</v>
      </c>
      <c r="AO292">
        <f t="shared" si="36"/>
        <v>260</v>
      </c>
      <c r="AP292">
        <f t="shared" si="40"/>
        <v>45</v>
      </c>
      <c r="AQ292">
        <f t="shared" si="41"/>
        <v>45</v>
      </c>
      <c r="AR292" s="26" t="s">
        <v>1355</v>
      </c>
      <c r="AS292" s="26" t="s">
        <v>1356</v>
      </c>
      <c r="AT292" t="s">
        <v>712</v>
      </c>
      <c r="AU292" t="s">
        <v>1</v>
      </c>
      <c r="AV292" t="s">
        <v>1</v>
      </c>
      <c r="AW292">
        <v>49.9</v>
      </c>
      <c r="AX292">
        <v>-99.35</v>
      </c>
      <c r="AY292" t="s">
        <v>737</v>
      </c>
      <c r="BA292" s="3">
        <v>4</v>
      </c>
      <c r="BB292" s="3"/>
      <c r="BC292" s="3"/>
      <c r="BD292" s="3"/>
      <c r="BE292" s="3"/>
      <c r="BF292">
        <v>2004</v>
      </c>
      <c r="BG292" s="24" t="s">
        <v>733</v>
      </c>
      <c r="BH292" s="24" t="s">
        <v>733</v>
      </c>
      <c r="BI292" s="24" t="s">
        <v>733</v>
      </c>
      <c r="BJ292" s="24" t="s">
        <v>732</v>
      </c>
      <c r="BK292" s="24" t="s">
        <v>733</v>
      </c>
      <c r="BL292" s="25" t="s">
        <v>733</v>
      </c>
      <c r="BM292" s="24" t="s">
        <v>733</v>
      </c>
      <c r="BN292" s="24" t="s">
        <v>732</v>
      </c>
      <c r="BO292" s="24" t="s">
        <v>733</v>
      </c>
      <c r="BP292" s="24" t="s">
        <v>733</v>
      </c>
      <c r="BQ292" s="24" t="s">
        <v>945</v>
      </c>
      <c r="BR292" s="24" t="s">
        <v>945</v>
      </c>
      <c r="BS292" s="25" t="s">
        <v>934</v>
      </c>
      <c r="BT292" s="24" t="s">
        <v>934</v>
      </c>
      <c r="BU292" s="24" t="s">
        <v>934</v>
      </c>
      <c r="BV292" s="24" t="s">
        <v>934</v>
      </c>
      <c r="BW292" s="24" t="s">
        <v>934</v>
      </c>
      <c r="BX292" s="24" t="s">
        <v>934</v>
      </c>
      <c r="BY292" s="25" t="s">
        <v>945</v>
      </c>
      <c r="BZ292" t="s">
        <v>62</v>
      </c>
      <c r="CB292" t="s">
        <v>312</v>
      </c>
      <c r="CC292" s="4">
        <v>1872</v>
      </c>
      <c r="CD292" s="4"/>
      <c r="CE292" s="4"/>
      <c r="CF292" t="s">
        <v>793</v>
      </c>
      <c r="CG292">
        <v>100</v>
      </c>
      <c r="CH292" t="s">
        <v>805</v>
      </c>
      <c r="CI292" s="28">
        <v>1.2</v>
      </c>
      <c r="CJ292" s="9" t="s">
        <v>1</v>
      </c>
      <c r="CK292" t="s">
        <v>807</v>
      </c>
      <c r="CL292" s="4">
        <v>2908</v>
      </c>
      <c r="CM292" t="s">
        <v>847</v>
      </c>
      <c r="CN292" s="4">
        <v>70.25</v>
      </c>
      <c r="CO292" s="4" t="s">
        <v>1</v>
      </c>
      <c r="CP292" s="4" t="s">
        <v>1</v>
      </c>
      <c r="CQ292" s="4" t="s">
        <v>1</v>
      </c>
      <c r="CR292" s="4" t="s">
        <v>1</v>
      </c>
      <c r="CS292" s="4" t="s">
        <v>1</v>
      </c>
      <c r="CT292" s="4" t="s">
        <v>1</v>
      </c>
      <c r="CU292" s="4" t="s">
        <v>1</v>
      </c>
      <c r="CV292" t="s">
        <v>852</v>
      </c>
      <c r="CW292">
        <v>100</v>
      </c>
      <c r="CX292" s="28">
        <v>0</v>
      </c>
      <c r="CY292" s="28">
        <v>30</v>
      </c>
      <c r="CZ292" s="26" t="s">
        <v>1358</v>
      </c>
      <c r="DA292" t="s">
        <v>734</v>
      </c>
      <c r="DB292" s="28">
        <f t="shared" si="42"/>
        <v>72.058823529411768</v>
      </c>
      <c r="DC292" s="28">
        <v>0</v>
      </c>
      <c r="DD292" s="28">
        <v>30</v>
      </c>
      <c r="DE292" s="26" t="s">
        <v>1358</v>
      </c>
      <c r="DF292" t="s">
        <v>735</v>
      </c>
      <c r="DG292" s="28">
        <f t="shared" si="43"/>
        <v>13.627450980392156</v>
      </c>
      <c r="DH292" s="28">
        <v>0</v>
      </c>
      <c r="DI292" s="28">
        <v>30</v>
      </c>
      <c r="DJ292" s="26" t="s">
        <v>1358</v>
      </c>
      <c r="DK292" t="s">
        <v>736</v>
      </c>
      <c r="DL292" s="28">
        <f t="shared" si="44"/>
        <v>14.313725490196077</v>
      </c>
      <c r="DM292" s="28">
        <v>0</v>
      </c>
      <c r="DN292" s="28">
        <v>30</v>
      </c>
      <c r="DO292" s="26" t="s">
        <v>1358</v>
      </c>
      <c r="DP292" t="s">
        <v>6</v>
      </c>
      <c r="DQ292" t="s">
        <v>1</v>
      </c>
      <c r="DR292">
        <v>6.7</v>
      </c>
      <c r="DS292" s="28">
        <v>0</v>
      </c>
      <c r="DT292" s="28">
        <v>30</v>
      </c>
      <c r="DU292" s="26" t="s">
        <v>1358</v>
      </c>
      <c r="DX292" s="28"/>
      <c r="DY292" s="28"/>
      <c r="DZ292" s="28"/>
      <c r="EA292" t="s">
        <v>982</v>
      </c>
      <c r="EB292">
        <v>18.400000000000002</v>
      </c>
      <c r="EC292" s="28">
        <v>0</v>
      </c>
      <c r="ED292" s="28">
        <v>30</v>
      </c>
      <c r="EE292" s="26" t="s">
        <v>1358</v>
      </c>
      <c r="EF292" s="26"/>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8"/>
      <c r="FK292" s="28"/>
      <c r="FL292" s="28"/>
      <c r="FM292" s="28"/>
      <c r="FN292" s="28"/>
      <c r="FO292" s="28"/>
      <c r="FP292" s="28"/>
      <c r="FQ292" s="28"/>
      <c r="FR292" s="28"/>
      <c r="FS292" s="28"/>
      <c r="FT292" s="28"/>
      <c r="FU292" s="28"/>
      <c r="FV292" s="28"/>
      <c r="FW292" s="28"/>
      <c r="FX292" s="28"/>
      <c r="FY292" s="28"/>
      <c r="FZ292" t="s">
        <v>806</v>
      </c>
      <c r="GA292">
        <v>419.33333329999999</v>
      </c>
      <c r="GE292" s="26" t="s">
        <v>1358</v>
      </c>
      <c r="HA292" s="5" t="s">
        <v>1</v>
      </c>
      <c r="HB292" s="4" t="s">
        <v>1</v>
      </c>
      <c r="HC292" t="s">
        <v>1</v>
      </c>
      <c r="HD292" t="s">
        <v>1</v>
      </c>
      <c r="HE292" t="s">
        <v>1</v>
      </c>
      <c r="HF292" s="5" t="s">
        <v>1</v>
      </c>
      <c r="HG292" s="4" t="s">
        <v>1</v>
      </c>
      <c r="HH292" t="s">
        <v>1</v>
      </c>
      <c r="HI292" t="s">
        <v>1</v>
      </c>
      <c r="HJ292" t="s">
        <v>1</v>
      </c>
      <c r="HK292" t="s">
        <v>815</v>
      </c>
      <c r="HL292" s="34">
        <v>1.3933333333333333</v>
      </c>
      <c r="HM292" s="28">
        <v>0</v>
      </c>
      <c r="HN292" s="28">
        <v>30</v>
      </c>
      <c r="HO292" t="s">
        <v>1</v>
      </c>
      <c r="HP292" s="26" t="s">
        <v>1358</v>
      </c>
      <c r="HZ292" t="s">
        <v>1</v>
      </c>
      <c r="IA292" t="s">
        <v>1</v>
      </c>
      <c r="IB292" s="10" t="s">
        <v>1</v>
      </c>
      <c r="IC292" s="10"/>
      <c r="ID292" s="10"/>
      <c r="IE292" s="10" t="s">
        <v>1</v>
      </c>
      <c r="IF292" s="10" t="s">
        <v>1</v>
      </c>
      <c r="IG292" s="10"/>
      <c r="IH292" s="10"/>
      <c r="II292" s="10"/>
      <c r="IJ292" s="10"/>
      <c r="IK292" s="10"/>
      <c r="IL292" s="10"/>
      <c r="IM292" s="10"/>
      <c r="IN292" s="10"/>
      <c r="IO292" s="10"/>
      <c r="IP292" s="10"/>
      <c r="IQ292" s="10"/>
      <c r="IR292" s="10"/>
      <c r="IS292" t="s">
        <v>1</v>
      </c>
      <c r="IT292" t="s">
        <v>1</v>
      </c>
      <c r="IW292" t="s">
        <v>979</v>
      </c>
      <c r="IX292">
        <v>128</v>
      </c>
      <c r="IY292" t="s">
        <v>1</v>
      </c>
      <c r="IZ292" t="s">
        <v>1</v>
      </c>
      <c r="JA292" t="s">
        <v>1</v>
      </c>
      <c r="JB292" s="3" t="s">
        <v>1</v>
      </c>
      <c r="JC292" t="s">
        <v>1</v>
      </c>
      <c r="JD292" s="4" t="s">
        <v>1</v>
      </c>
      <c r="JE292" t="s">
        <v>810</v>
      </c>
      <c r="JF292">
        <v>100</v>
      </c>
      <c r="JR292" t="s">
        <v>1066</v>
      </c>
      <c r="JS292">
        <v>73.3</v>
      </c>
      <c r="JU292" t="s">
        <v>1</v>
      </c>
      <c r="JW292" t="s">
        <v>1</v>
      </c>
      <c r="JX292">
        <v>0</v>
      </c>
      <c r="JY292">
        <v>106.69999999999999</v>
      </c>
      <c r="JZ292" t="s">
        <v>796</v>
      </c>
      <c r="KA292" t="s">
        <v>313</v>
      </c>
      <c r="KB292" t="s">
        <v>738</v>
      </c>
      <c r="KC292" t="s">
        <v>1</v>
      </c>
      <c r="KD292" t="s">
        <v>1</v>
      </c>
      <c r="KE292" s="1" t="s">
        <v>1</v>
      </c>
      <c r="KF292" t="s">
        <v>1</v>
      </c>
      <c r="KG292" t="s">
        <v>1</v>
      </c>
      <c r="KH292" t="s">
        <v>1</v>
      </c>
      <c r="KI292" t="s">
        <v>1</v>
      </c>
      <c r="KJ292" t="s">
        <v>1</v>
      </c>
      <c r="KK292" t="s">
        <v>1</v>
      </c>
    </row>
    <row r="293" spans="1:297" x14ac:dyDescent="0.2">
      <c r="A293">
        <v>261</v>
      </c>
      <c r="B293" t="s">
        <v>705</v>
      </c>
      <c r="C293" t="s">
        <v>316</v>
      </c>
      <c r="D293" t="s">
        <v>691</v>
      </c>
      <c r="E293">
        <v>45</v>
      </c>
      <c r="F293" t="s">
        <v>311</v>
      </c>
      <c r="G293" t="s">
        <v>1</v>
      </c>
      <c r="H293" s="26" t="s">
        <v>1420</v>
      </c>
      <c r="I293" t="s">
        <v>1</v>
      </c>
      <c r="J293" t="s">
        <v>1</v>
      </c>
      <c r="K293" t="s">
        <v>1</v>
      </c>
      <c r="L293" t="s">
        <v>1</v>
      </c>
      <c r="M293" t="s">
        <v>1</v>
      </c>
      <c r="N293" t="s">
        <v>1</v>
      </c>
      <c r="O293" t="s">
        <v>1</v>
      </c>
      <c r="P293" t="s">
        <v>1</v>
      </c>
      <c r="Q293" t="s">
        <v>1</v>
      </c>
      <c r="R293" t="s">
        <v>1</v>
      </c>
      <c r="S293" t="s">
        <v>1</v>
      </c>
      <c r="T293" t="s">
        <v>1</v>
      </c>
      <c r="U293" t="s">
        <v>1</v>
      </c>
      <c r="V293" t="s">
        <v>1</v>
      </c>
      <c r="W293" t="s">
        <v>1</v>
      </c>
      <c r="X293" t="s">
        <v>1</v>
      </c>
      <c r="Y293" t="s">
        <v>1</v>
      </c>
      <c r="Z293" t="s">
        <v>1</v>
      </c>
      <c r="AA293" t="s">
        <v>1</v>
      </c>
      <c r="AB293" t="s">
        <v>1</v>
      </c>
      <c r="AC293" t="s">
        <v>1</v>
      </c>
      <c r="AD293" t="s">
        <v>1</v>
      </c>
      <c r="AE293" t="s">
        <v>1</v>
      </c>
      <c r="AF293" t="s">
        <v>1</v>
      </c>
      <c r="AG293" t="s">
        <v>1</v>
      </c>
      <c r="AH293" t="s">
        <v>1</v>
      </c>
      <c r="AI293" t="s">
        <v>1</v>
      </c>
      <c r="AJ293" t="s">
        <v>1</v>
      </c>
      <c r="AK293" t="s">
        <v>1</v>
      </c>
      <c r="AL293" t="s">
        <v>1</v>
      </c>
      <c r="AM293" t="s">
        <v>1</v>
      </c>
      <c r="AN293">
        <v>261</v>
      </c>
      <c r="AO293">
        <f t="shared" si="36"/>
        <v>261</v>
      </c>
      <c r="AP293">
        <f t="shared" si="40"/>
        <v>45</v>
      </c>
      <c r="AQ293">
        <f t="shared" si="41"/>
        <v>45</v>
      </c>
      <c r="AR293" s="26" t="s">
        <v>1355</v>
      </c>
      <c r="AS293" s="26" t="s">
        <v>1356</v>
      </c>
      <c r="AT293" t="s">
        <v>712</v>
      </c>
      <c r="AU293" t="s">
        <v>1</v>
      </c>
      <c r="AV293" t="s">
        <v>1</v>
      </c>
      <c r="AW293">
        <v>49.9</v>
      </c>
      <c r="AX293">
        <v>-99.35</v>
      </c>
      <c r="AY293" t="s">
        <v>737</v>
      </c>
      <c r="BA293" s="3">
        <v>4</v>
      </c>
      <c r="BB293" s="3"/>
      <c r="BC293" s="3"/>
      <c r="BD293" s="3"/>
      <c r="BE293" s="3"/>
      <c r="BF293">
        <v>2004</v>
      </c>
      <c r="BG293" s="24" t="s">
        <v>733</v>
      </c>
      <c r="BH293" s="24" t="s">
        <v>733</v>
      </c>
      <c r="BI293" s="24" t="s">
        <v>733</v>
      </c>
      <c r="BJ293" s="24" t="s">
        <v>732</v>
      </c>
      <c r="BK293" s="24" t="s">
        <v>733</v>
      </c>
      <c r="BL293" s="25" t="s">
        <v>733</v>
      </c>
      <c r="BM293" s="24" t="s">
        <v>733</v>
      </c>
      <c r="BN293" s="24" t="s">
        <v>732</v>
      </c>
      <c r="BO293" s="24" t="s">
        <v>733</v>
      </c>
      <c r="BP293" s="24" t="s">
        <v>733</v>
      </c>
      <c r="BQ293" s="24" t="s">
        <v>945</v>
      </c>
      <c r="BR293" s="24" t="s">
        <v>945</v>
      </c>
      <c r="BS293" s="25" t="s">
        <v>934</v>
      </c>
      <c r="BT293" s="24" t="s">
        <v>934</v>
      </c>
      <c r="BU293" s="24" t="s">
        <v>934</v>
      </c>
      <c r="BV293" s="24" t="s">
        <v>934</v>
      </c>
      <c r="BW293" s="24" t="s">
        <v>934</v>
      </c>
      <c r="BX293" s="24" t="s">
        <v>934</v>
      </c>
      <c r="BY293" s="25" t="s">
        <v>945</v>
      </c>
      <c r="BZ293" t="s">
        <v>62</v>
      </c>
      <c r="CB293" t="s">
        <v>312</v>
      </c>
      <c r="CC293" s="4">
        <v>2128</v>
      </c>
      <c r="CD293" s="4"/>
      <c r="CE293" s="4"/>
      <c r="CF293" t="s">
        <v>793</v>
      </c>
      <c r="CG293">
        <v>100</v>
      </c>
      <c r="CH293" t="s">
        <v>805</v>
      </c>
      <c r="CI293" s="28">
        <v>1.2</v>
      </c>
      <c r="CJ293" s="9" t="s">
        <v>1</v>
      </c>
      <c r="CK293" t="s">
        <v>807</v>
      </c>
      <c r="CL293" s="4">
        <v>3136</v>
      </c>
      <c r="CM293" t="s">
        <v>847</v>
      </c>
      <c r="CN293" s="4">
        <v>83.51</v>
      </c>
      <c r="CO293" s="4" t="s">
        <v>1</v>
      </c>
      <c r="CP293" s="4" t="s">
        <v>1</v>
      </c>
      <c r="CQ293" s="4" t="s">
        <v>1</v>
      </c>
      <c r="CR293" s="4" t="s">
        <v>1</v>
      </c>
      <c r="CS293" s="4" t="s">
        <v>1</v>
      </c>
      <c r="CT293" s="4" t="s">
        <v>1</v>
      </c>
      <c r="CU293" s="4" t="s">
        <v>1</v>
      </c>
      <c r="CV293" t="s">
        <v>852</v>
      </c>
      <c r="CW293">
        <v>100</v>
      </c>
      <c r="CX293" s="28">
        <v>0</v>
      </c>
      <c r="CY293" s="28">
        <v>30</v>
      </c>
      <c r="CZ293" s="26" t="s">
        <v>1358</v>
      </c>
      <c r="DA293" t="s">
        <v>734</v>
      </c>
      <c r="DB293" s="28">
        <f t="shared" si="42"/>
        <v>72.058823529411768</v>
      </c>
      <c r="DC293" s="28">
        <v>0</v>
      </c>
      <c r="DD293" s="28">
        <v>30</v>
      </c>
      <c r="DE293" s="26" t="s">
        <v>1358</v>
      </c>
      <c r="DF293" t="s">
        <v>735</v>
      </c>
      <c r="DG293" s="28">
        <f t="shared" si="43"/>
        <v>13.627450980392156</v>
      </c>
      <c r="DH293" s="28">
        <v>0</v>
      </c>
      <c r="DI293" s="28">
        <v>30</v>
      </c>
      <c r="DJ293" s="26" t="s">
        <v>1358</v>
      </c>
      <c r="DK293" t="s">
        <v>736</v>
      </c>
      <c r="DL293" s="28">
        <f t="shared" si="44"/>
        <v>14.313725490196077</v>
      </c>
      <c r="DM293" s="28">
        <v>0</v>
      </c>
      <c r="DN293" s="28">
        <v>30</v>
      </c>
      <c r="DO293" s="26" t="s">
        <v>1358</v>
      </c>
      <c r="DP293" t="s">
        <v>6</v>
      </c>
      <c r="DQ293" t="s">
        <v>1</v>
      </c>
      <c r="DR293">
        <v>6.7</v>
      </c>
      <c r="DS293" s="28">
        <v>0</v>
      </c>
      <c r="DT293" s="28">
        <v>30</v>
      </c>
      <c r="DU293" s="26" t="s">
        <v>1358</v>
      </c>
      <c r="DX293" s="28"/>
      <c r="DY293" s="28"/>
      <c r="DZ293" s="28"/>
      <c r="EA293" t="s">
        <v>982</v>
      </c>
      <c r="EB293">
        <v>18.400000000000002</v>
      </c>
      <c r="EC293" s="28">
        <v>0</v>
      </c>
      <c r="ED293" s="28">
        <v>30</v>
      </c>
      <c r="EE293" s="26" t="s">
        <v>1358</v>
      </c>
      <c r="EF293" s="26"/>
      <c r="EI293" s="28"/>
      <c r="EJ293" s="28"/>
      <c r="EK293" s="28"/>
      <c r="EL293" s="28"/>
      <c r="EM293" s="28"/>
      <c r="EN293" s="28"/>
      <c r="EO293" s="28"/>
      <c r="EP293" s="28"/>
      <c r="EQ293" s="28"/>
      <c r="ER293" s="28"/>
      <c r="ES293" s="28"/>
      <c r="ET293" s="28"/>
      <c r="EU293" s="28"/>
      <c r="EV293" s="28"/>
      <c r="EW293" s="28"/>
      <c r="EX293" s="28"/>
      <c r="EY293" s="28"/>
      <c r="EZ293" s="28"/>
      <c r="FA293" s="28"/>
      <c r="FB293" s="28"/>
      <c r="FC293" s="28"/>
      <c r="FD293" s="28"/>
      <c r="FE293" s="28"/>
      <c r="FF293" s="28"/>
      <c r="FG293" s="28"/>
      <c r="FH293" s="28"/>
      <c r="FI293" s="28"/>
      <c r="FJ293" s="28"/>
      <c r="FK293" s="28"/>
      <c r="FL293" s="28"/>
      <c r="FM293" s="28"/>
      <c r="FN293" s="28"/>
      <c r="FO293" s="28"/>
      <c r="FP293" s="28"/>
      <c r="FQ293" s="28"/>
      <c r="FR293" s="28"/>
      <c r="FS293" s="28"/>
      <c r="FT293" s="28"/>
      <c r="FU293" s="28"/>
      <c r="FV293" s="28"/>
      <c r="FW293" s="28"/>
      <c r="FX293" s="28"/>
      <c r="FY293" s="28"/>
      <c r="FZ293" t="s">
        <v>806</v>
      </c>
      <c r="GA293">
        <v>419.33333329999999</v>
      </c>
      <c r="GE293" s="26" t="s">
        <v>1358</v>
      </c>
      <c r="HA293" s="5" t="s">
        <v>1</v>
      </c>
      <c r="HB293" s="4" t="s">
        <v>1</v>
      </c>
      <c r="HC293" t="s">
        <v>1</v>
      </c>
      <c r="HD293" t="s">
        <v>1</v>
      </c>
      <c r="HE293" t="s">
        <v>1</v>
      </c>
      <c r="HF293" s="5" t="s">
        <v>1</v>
      </c>
      <c r="HG293" s="4" t="s">
        <v>1</v>
      </c>
      <c r="HH293" t="s">
        <v>1</v>
      </c>
      <c r="HI293" t="s">
        <v>1</v>
      </c>
      <c r="HJ293" t="s">
        <v>1</v>
      </c>
      <c r="HK293" t="s">
        <v>815</v>
      </c>
      <c r="HL293" s="34">
        <v>1.3933333333333333</v>
      </c>
      <c r="HM293" s="28">
        <v>0</v>
      </c>
      <c r="HN293" s="28">
        <v>30</v>
      </c>
      <c r="HO293" t="s">
        <v>1</v>
      </c>
      <c r="HP293" s="26" t="s">
        <v>1358</v>
      </c>
      <c r="HZ293" t="s">
        <v>1</v>
      </c>
      <c r="IA293" t="s">
        <v>1</v>
      </c>
      <c r="IB293" s="10" t="s">
        <v>1</v>
      </c>
      <c r="IC293" s="10"/>
      <c r="ID293" s="10"/>
      <c r="IE293" s="10" t="s">
        <v>1</v>
      </c>
      <c r="IF293" s="10" t="s">
        <v>1</v>
      </c>
      <c r="IG293" s="10"/>
      <c r="IH293" s="10"/>
      <c r="II293" s="10"/>
      <c r="IJ293" s="10"/>
      <c r="IK293" s="10"/>
      <c r="IL293" s="10"/>
      <c r="IM293" s="10"/>
      <c r="IN293" s="10"/>
      <c r="IO293" s="10"/>
      <c r="IP293" s="10"/>
      <c r="IQ293" s="10"/>
      <c r="IR293" s="10"/>
      <c r="IS293" t="s">
        <v>1</v>
      </c>
      <c r="IT293" t="s">
        <v>1</v>
      </c>
      <c r="IW293" t="s">
        <v>979</v>
      </c>
      <c r="IX293">
        <v>192</v>
      </c>
      <c r="IY293" t="s">
        <v>1</v>
      </c>
      <c r="IZ293" t="s">
        <v>1</v>
      </c>
      <c r="JA293" t="s">
        <v>1</v>
      </c>
      <c r="JB293" s="3" t="s">
        <v>1</v>
      </c>
      <c r="JC293" t="s">
        <v>1</v>
      </c>
      <c r="JD293" s="4" t="s">
        <v>1</v>
      </c>
      <c r="JE293" t="s">
        <v>810</v>
      </c>
      <c r="JF293">
        <v>100</v>
      </c>
      <c r="JR293" t="s">
        <v>1066</v>
      </c>
      <c r="JS293">
        <v>110</v>
      </c>
      <c r="JU293" t="s">
        <v>1</v>
      </c>
      <c r="JW293" t="s">
        <v>1</v>
      </c>
      <c r="JX293">
        <v>0</v>
      </c>
      <c r="JY293">
        <v>106.69999999999999</v>
      </c>
      <c r="JZ293" t="s">
        <v>796</v>
      </c>
      <c r="KA293" t="s">
        <v>313</v>
      </c>
      <c r="KB293" t="s">
        <v>738</v>
      </c>
      <c r="KC293" t="s">
        <v>1</v>
      </c>
      <c r="KD293" t="s">
        <v>1</v>
      </c>
      <c r="KE293" s="1" t="s">
        <v>1</v>
      </c>
      <c r="KF293" t="s">
        <v>1</v>
      </c>
      <c r="KG293" t="s">
        <v>1</v>
      </c>
      <c r="KH293" t="s">
        <v>1</v>
      </c>
      <c r="KI293" t="s">
        <v>1</v>
      </c>
      <c r="KJ293" t="s">
        <v>1</v>
      </c>
      <c r="KK293" t="s">
        <v>1</v>
      </c>
    </row>
    <row r="294" spans="1:297" x14ac:dyDescent="0.2">
      <c r="A294">
        <v>262</v>
      </c>
      <c r="B294" t="s">
        <v>705</v>
      </c>
      <c r="C294" t="s">
        <v>319</v>
      </c>
      <c r="D294" t="s">
        <v>317</v>
      </c>
      <c r="E294">
        <v>46</v>
      </c>
      <c r="F294" t="s">
        <v>318</v>
      </c>
      <c r="G294" t="s">
        <v>1</v>
      </c>
      <c r="H294" s="26" t="s">
        <v>1420</v>
      </c>
      <c r="I294" t="s">
        <v>1</v>
      </c>
      <c r="J294" t="s">
        <v>1</v>
      </c>
      <c r="K294" t="s">
        <v>1</v>
      </c>
      <c r="L294" t="s">
        <v>1</v>
      </c>
      <c r="M294" t="s">
        <v>1</v>
      </c>
      <c r="N294" t="s">
        <v>1</v>
      </c>
      <c r="O294" t="s">
        <v>1</v>
      </c>
      <c r="P294" t="s">
        <v>1</v>
      </c>
      <c r="Q294" t="s">
        <v>1</v>
      </c>
      <c r="R294" t="s">
        <v>1</v>
      </c>
      <c r="S294" t="s">
        <v>1</v>
      </c>
      <c r="T294" t="s">
        <v>1</v>
      </c>
      <c r="U294" t="s">
        <v>1</v>
      </c>
      <c r="V294" t="s">
        <v>1</v>
      </c>
      <c r="W294" t="s">
        <v>1</v>
      </c>
      <c r="X294" t="s">
        <v>1</v>
      </c>
      <c r="Y294" t="s">
        <v>1</v>
      </c>
      <c r="Z294" t="s">
        <v>1</v>
      </c>
      <c r="AA294" t="s">
        <v>1</v>
      </c>
      <c r="AB294" t="s">
        <v>1</v>
      </c>
      <c r="AC294" t="s">
        <v>1</v>
      </c>
      <c r="AD294" t="s">
        <v>1</v>
      </c>
      <c r="AE294" t="s">
        <v>1</v>
      </c>
      <c r="AF294" t="s">
        <v>1</v>
      </c>
      <c r="AG294" t="s">
        <v>1</v>
      </c>
      <c r="AH294" t="s">
        <v>1</v>
      </c>
      <c r="AI294" t="s">
        <v>1</v>
      </c>
      <c r="AJ294" t="s">
        <v>1</v>
      </c>
      <c r="AK294" t="s">
        <v>1</v>
      </c>
      <c r="AL294" t="s">
        <v>1</v>
      </c>
      <c r="AM294" t="s">
        <v>1</v>
      </c>
      <c r="AN294">
        <v>262</v>
      </c>
      <c r="AO294">
        <f t="shared" si="36"/>
        <v>262</v>
      </c>
      <c r="AP294">
        <f t="shared" si="40"/>
        <v>46</v>
      </c>
      <c r="AQ294">
        <f t="shared" si="41"/>
        <v>46</v>
      </c>
      <c r="AR294" s="26" t="s">
        <v>1355</v>
      </c>
      <c r="AS294" s="26" t="s">
        <v>1356</v>
      </c>
      <c r="AT294" t="s">
        <v>713</v>
      </c>
      <c r="AU294" t="s">
        <v>1</v>
      </c>
      <c r="AV294" t="s">
        <v>1</v>
      </c>
      <c r="AW294">
        <v>42.75</v>
      </c>
      <c r="AX294">
        <v>-94.5</v>
      </c>
      <c r="AY294" t="s">
        <v>737</v>
      </c>
      <c r="BA294" s="3">
        <v>3</v>
      </c>
      <c r="BB294" s="3"/>
      <c r="BC294" s="3"/>
      <c r="BD294" s="3"/>
      <c r="BE294" s="3"/>
      <c r="BF294">
        <v>1993</v>
      </c>
      <c r="BG294" s="24" t="s">
        <v>733</v>
      </c>
      <c r="BH294" s="24" t="s">
        <v>733</v>
      </c>
      <c r="BI294" s="24" t="s">
        <v>733</v>
      </c>
      <c r="BJ294" s="24" t="s">
        <v>732</v>
      </c>
      <c r="BK294" s="24" t="s">
        <v>733</v>
      </c>
      <c r="BL294" s="25" t="s">
        <v>733</v>
      </c>
      <c r="BM294" s="24" t="s">
        <v>733</v>
      </c>
      <c r="BN294" s="24" t="s">
        <v>732</v>
      </c>
      <c r="BO294" s="24" t="s">
        <v>733</v>
      </c>
      <c r="BP294" s="24" t="s">
        <v>733</v>
      </c>
      <c r="BQ294" s="24" t="s">
        <v>945</v>
      </c>
      <c r="BR294" s="24" t="s">
        <v>945</v>
      </c>
      <c r="BS294" s="25" t="s">
        <v>934</v>
      </c>
      <c r="BT294" s="24" t="s">
        <v>934</v>
      </c>
      <c r="BU294" s="24" t="s">
        <v>934</v>
      </c>
      <c r="BV294" s="24" t="s">
        <v>934</v>
      </c>
      <c r="BW294" s="24" t="s">
        <v>934</v>
      </c>
      <c r="BX294" s="24" t="s">
        <v>934</v>
      </c>
      <c r="BY294" s="25" t="s">
        <v>945</v>
      </c>
      <c r="BZ294" t="s">
        <v>5</v>
      </c>
      <c r="CB294" t="s">
        <v>1</v>
      </c>
      <c r="CC294" s="4">
        <f>5042*0.87</f>
        <v>4386.54</v>
      </c>
      <c r="CD294" s="4"/>
      <c r="CE294" s="4"/>
      <c r="CF294" t="s">
        <v>793</v>
      </c>
      <c r="CG294">
        <v>100</v>
      </c>
      <c r="CH294" t="s">
        <v>805</v>
      </c>
      <c r="CI294" s="28">
        <v>1.6</v>
      </c>
      <c r="CJ294" s="10" t="s">
        <v>1442</v>
      </c>
      <c r="CK294" s="9" t="s">
        <v>1</v>
      </c>
      <c r="CL294" s="4" t="s">
        <v>1</v>
      </c>
      <c r="CM294" s="4" t="s">
        <v>1</v>
      </c>
      <c r="CN294" s="4" t="s">
        <v>1</v>
      </c>
      <c r="CO294" s="4" t="s">
        <v>1</v>
      </c>
      <c r="CP294" s="4" t="s">
        <v>1</v>
      </c>
      <c r="CQ294" s="4" t="s">
        <v>1</v>
      </c>
      <c r="CR294" s="4" t="s">
        <v>1</v>
      </c>
      <c r="CS294" s="4" t="s">
        <v>1</v>
      </c>
      <c r="CT294" s="4" t="s">
        <v>1</v>
      </c>
      <c r="CU294" s="4" t="s">
        <v>1</v>
      </c>
      <c r="CV294" s="38" t="s">
        <v>851</v>
      </c>
      <c r="CW294">
        <v>100</v>
      </c>
      <c r="CX294">
        <v>0</v>
      </c>
      <c r="CY294">
        <v>30</v>
      </c>
      <c r="CZ294" s="26" t="s">
        <v>1358</v>
      </c>
      <c r="DA294" t="s">
        <v>734</v>
      </c>
      <c r="DB294">
        <v>32.299999999999997</v>
      </c>
      <c r="DC294">
        <v>0</v>
      </c>
      <c r="DD294">
        <v>30</v>
      </c>
      <c r="DE294" s="26" t="s">
        <v>1358</v>
      </c>
      <c r="DF294" t="s">
        <v>735</v>
      </c>
      <c r="DG294">
        <v>41.7</v>
      </c>
      <c r="DH294">
        <v>0</v>
      </c>
      <c r="DI294">
        <v>30</v>
      </c>
      <c r="DJ294" s="26" t="s">
        <v>1358</v>
      </c>
      <c r="DK294" t="s">
        <v>736</v>
      </c>
      <c r="DL294">
        <v>26</v>
      </c>
      <c r="DM294">
        <v>0</v>
      </c>
      <c r="DN294">
        <v>30</v>
      </c>
      <c r="DO294" s="26" t="s">
        <v>1358</v>
      </c>
      <c r="DP294" t="s">
        <v>1</v>
      </c>
      <c r="DQ294" t="s">
        <v>1</v>
      </c>
      <c r="DR294" t="s">
        <v>1</v>
      </c>
      <c r="DS294" t="s">
        <v>1</v>
      </c>
      <c r="DT294" t="s">
        <v>1</v>
      </c>
      <c r="DU294" t="s">
        <v>1</v>
      </c>
      <c r="EA294" t="s">
        <v>982</v>
      </c>
      <c r="EB294">
        <v>22</v>
      </c>
      <c r="EC294">
        <v>0</v>
      </c>
      <c r="ED294">
        <v>30</v>
      </c>
      <c r="EE294" s="26" t="s">
        <v>1358</v>
      </c>
      <c r="EF294" s="26"/>
      <c r="FZ294" t="s">
        <v>806</v>
      </c>
      <c r="GA294">
        <v>805</v>
      </c>
      <c r="GE294" s="26" t="s">
        <v>1358</v>
      </c>
      <c r="HA294" s="5" t="s">
        <v>1</v>
      </c>
      <c r="HB294" s="4" t="s">
        <v>1</v>
      </c>
      <c r="HC294" t="s">
        <v>1</v>
      </c>
      <c r="HD294" t="s">
        <v>1</v>
      </c>
      <c r="HE294" t="s">
        <v>1</v>
      </c>
      <c r="HF294" s="5" t="s">
        <v>1</v>
      </c>
      <c r="HG294" s="4" t="s">
        <v>1</v>
      </c>
      <c r="HH294" t="s">
        <v>1</v>
      </c>
      <c r="HI294" t="s">
        <v>1</v>
      </c>
      <c r="HJ294" t="s">
        <v>1</v>
      </c>
      <c r="HK294" t="s">
        <v>815</v>
      </c>
      <c r="HL294" s="34">
        <v>1.38</v>
      </c>
      <c r="HM294">
        <v>0</v>
      </c>
      <c r="HN294">
        <v>30</v>
      </c>
      <c r="HO294" t="s">
        <v>1452</v>
      </c>
      <c r="HP294" s="26" t="s">
        <v>1358</v>
      </c>
      <c r="HZ294" t="s">
        <v>1</v>
      </c>
      <c r="IA294" t="s">
        <v>1</v>
      </c>
      <c r="IB294" s="10" t="s">
        <v>1</v>
      </c>
      <c r="IC294" s="10"/>
      <c r="ID294" s="10"/>
      <c r="IE294" s="10" t="s">
        <v>1</v>
      </c>
      <c r="IF294" s="10" t="s">
        <v>1</v>
      </c>
      <c r="IG294" s="10"/>
      <c r="IH294" s="10"/>
      <c r="II294" s="10"/>
      <c r="IJ294" s="10"/>
      <c r="IK294" s="10"/>
      <c r="IL294" s="10"/>
      <c r="IM294" s="10"/>
      <c r="IN294" s="10"/>
      <c r="IO294" s="10"/>
      <c r="IP294" s="10"/>
      <c r="IQ294" s="10"/>
      <c r="IR294" s="10"/>
      <c r="IS294" t="s">
        <v>1</v>
      </c>
      <c r="IT294" t="s">
        <v>1</v>
      </c>
      <c r="IW294" t="s">
        <v>1</v>
      </c>
      <c r="IX294" t="s">
        <v>1</v>
      </c>
      <c r="IY294" t="s">
        <v>1</v>
      </c>
      <c r="IZ294" t="s">
        <v>1</v>
      </c>
      <c r="JA294" t="s">
        <v>1</v>
      </c>
      <c r="JB294" s="3" t="s">
        <v>1</v>
      </c>
      <c r="JC294" t="s">
        <v>1</v>
      </c>
      <c r="JD294" s="4" t="s">
        <v>1</v>
      </c>
      <c r="JE294" t="s">
        <v>810</v>
      </c>
      <c r="JF294">
        <v>100</v>
      </c>
      <c r="JR294" t="s">
        <v>1066</v>
      </c>
      <c r="JS294">
        <v>212.5</v>
      </c>
      <c r="JU294" t="s">
        <v>1</v>
      </c>
      <c r="JW294" t="s">
        <v>1</v>
      </c>
      <c r="JX294">
        <v>0</v>
      </c>
      <c r="JY294">
        <v>106</v>
      </c>
      <c r="JZ294" t="s">
        <v>801</v>
      </c>
      <c r="KA294" t="s">
        <v>320</v>
      </c>
      <c r="KB294" t="s">
        <v>738</v>
      </c>
      <c r="KC294" t="s">
        <v>1</v>
      </c>
      <c r="KD294" t="s">
        <v>1</v>
      </c>
      <c r="KE294" s="1" t="s">
        <v>1</v>
      </c>
      <c r="KF294" t="s">
        <v>1</v>
      </c>
      <c r="KG294" t="s">
        <v>1</v>
      </c>
      <c r="KH294" t="s">
        <v>1</v>
      </c>
      <c r="KI294" t="s">
        <v>1</v>
      </c>
      <c r="KJ294" t="s">
        <v>1</v>
      </c>
      <c r="KK294" t="s">
        <v>1</v>
      </c>
    </row>
    <row r="295" spans="1:297" x14ac:dyDescent="0.2">
      <c r="A295">
        <v>263</v>
      </c>
      <c r="B295" t="s">
        <v>705</v>
      </c>
      <c r="C295" t="s">
        <v>321</v>
      </c>
      <c r="D295" t="s">
        <v>317</v>
      </c>
      <c r="E295">
        <v>46</v>
      </c>
      <c r="F295" t="s">
        <v>318</v>
      </c>
      <c r="G295" t="s">
        <v>1</v>
      </c>
      <c r="H295" s="26" t="s">
        <v>1420</v>
      </c>
      <c r="I295" t="s">
        <v>1</v>
      </c>
      <c r="J295" t="s">
        <v>1</v>
      </c>
      <c r="K295" t="s">
        <v>1</v>
      </c>
      <c r="L295" t="s">
        <v>1</v>
      </c>
      <c r="M295" t="s">
        <v>1</v>
      </c>
      <c r="N295" t="s">
        <v>1</v>
      </c>
      <c r="O295" t="s">
        <v>1</v>
      </c>
      <c r="P295" t="s">
        <v>1</v>
      </c>
      <c r="Q295" t="s">
        <v>1</v>
      </c>
      <c r="R295" t="s">
        <v>1</v>
      </c>
      <c r="S295" t="s">
        <v>1</v>
      </c>
      <c r="T295" t="s">
        <v>1</v>
      </c>
      <c r="U295" t="s">
        <v>1</v>
      </c>
      <c r="V295" t="s">
        <v>1</v>
      </c>
      <c r="W295" t="s">
        <v>1</v>
      </c>
      <c r="X295" t="s">
        <v>1</v>
      </c>
      <c r="Y295" t="s">
        <v>1</v>
      </c>
      <c r="Z295" t="s">
        <v>1</v>
      </c>
      <c r="AA295" t="s">
        <v>1</v>
      </c>
      <c r="AB295" t="s">
        <v>1</v>
      </c>
      <c r="AC295" t="s">
        <v>1</v>
      </c>
      <c r="AD295" t="s">
        <v>1</v>
      </c>
      <c r="AE295" t="s">
        <v>1</v>
      </c>
      <c r="AF295" t="s">
        <v>1</v>
      </c>
      <c r="AG295" t="s">
        <v>1</v>
      </c>
      <c r="AH295" t="s">
        <v>1</v>
      </c>
      <c r="AI295" t="s">
        <v>1</v>
      </c>
      <c r="AJ295" t="s">
        <v>1</v>
      </c>
      <c r="AK295" t="s">
        <v>1</v>
      </c>
      <c r="AL295" t="s">
        <v>1</v>
      </c>
      <c r="AM295" t="s">
        <v>1</v>
      </c>
      <c r="AN295">
        <v>263</v>
      </c>
      <c r="AO295">
        <f t="shared" si="36"/>
        <v>263</v>
      </c>
      <c r="AP295">
        <f t="shared" si="40"/>
        <v>46</v>
      </c>
      <c r="AQ295">
        <f t="shared" si="41"/>
        <v>46</v>
      </c>
      <c r="AR295" s="26" t="s">
        <v>1355</v>
      </c>
      <c r="AS295" s="26" t="s">
        <v>1356</v>
      </c>
      <c r="AT295" t="s">
        <v>713</v>
      </c>
      <c r="AU295" t="s">
        <v>1</v>
      </c>
      <c r="AV295" t="s">
        <v>1</v>
      </c>
      <c r="AW295">
        <v>42.75</v>
      </c>
      <c r="AX295">
        <v>-94.5</v>
      </c>
      <c r="AY295" t="s">
        <v>737</v>
      </c>
      <c r="BA295" s="3">
        <v>3</v>
      </c>
      <c r="BB295" s="3"/>
      <c r="BC295" s="3"/>
      <c r="BD295" s="3"/>
      <c r="BE295" s="3"/>
      <c r="BF295">
        <v>1993</v>
      </c>
      <c r="BG295" s="24" t="s">
        <v>733</v>
      </c>
      <c r="BH295" s="24" t="s">
        <v>733</v>
      </c>
      <c r="BI295" s="24" t="s">
        <v>733</v>
      </c>
      <c r="BJ295" s="24" t="s">
        <v>732</v>
      </c>
      <c r="BK295" s="24" t="s">
        <v>733</v>
      </c>
      <c r="BL295" s="25" t="s">
        <v>733</v>
      </c>
      <c r="BM295" s="24" t="s">
        <v>733</v>
      </c>
      <c r="BN295" s="24" t="s">
        <v>732</v>
      </c>
      <c r="BO295" s="24" t="s">
        <v>733</v>
      </c>
      <c r="BP295" s="24" t="s">
        <v>733</v>
      </c>
      <c r="BQ295" s="24" t="s">
        <v>945</v>
      </c>
      <c r="BR295" s="24" t="s">
        <v>945</v>
      </c>
      <c r="BS295" s="25" t="s">
        <v>934</v>
      </c>
      <c r="BT295" s="24" t="s">
        <v>934</v>
      </c>
      <c r="BU295" s="24" t="s">
        <v>934</v>
      </c>
      <c r="BV295" s="24" t="s">
        <v>934</v>
      </c>
      <c r="BW295" s="24" t="s">
        <v>934</v>
      </c>
      <c r="BX295" s="24" t="s">
        <v>934</v>
      </c>
      <c r="BY295" s="25" t="s">
        <v>945</v>
      </c>
      <c r="BZ295" t="s">
        <v>5</v>
      </c>
      <c r="CB295" t="s">
        <v>1</v>
      </c>
      <c r="CC295" s="4">
        <f>6544*0.87</f>
        <v>5693.28</v>
      </c>
      <c r="CD295" s="4"/>
      <c r="CE295" s="4"/>
      <c r="CF295" t="s">
        <v>793</v>
      </c>
      <c r="CG295">
        <v>100</v>
      </c>
      <c r="CH295" t="s">
        <v>805</v>
      </c>
      <c r="CI295" s="28">
        <v>1.6</v>
      </c>
      <c r="CJ295" s="10" t="s">
        <v>1442</v>
      </c>
      <c r="CK295" s="9" t="s">
        <v>1</v>
      </c>
      <c r="CL295" s="4" t="s">
        <v>1</v>
      </c>
      <c r="CM295" s="4" t="s">
        <v>1</v>
      </c>
      <c r="CN295" s="4" t="s">
        <v>1</v>
      </c>
      <c r="CO295" s="4" t="s">
        <v>1</v>
      </c>
      <c r="CP295" s="4" t="s">
        <v>1</v>
      </c>
      <c r="CQ295" s="4" t="s">
        <v>1</v>
      </c>
      <c r="CR295" s="4" t="s">
        <v>1</v>
      </c>
      <c r="CS295" s="4" t="s">
        <v>1</v>
      </c>
      <c r="CT295" s="4" t="s">
        <v>1</v>
      </c>
      <c r="CU295" s="4" t="s">
        <v>1</v>
      </c>
      <c r="CV295" s="38" t="s">
        <v>851</v>
      </c>
      <c r="CW295">
        <v>100</v>
      </c>
      <c r="CX295">
        <v>0</v>
      </c>
      <c r="CY295">
        <v>30</v>
      </c>
      <c r="CZ295" s="26" t="s">
        <v>1358</v>
      </c>
      <c r="DA295" t="s">
        <v>734</v>
      </c>
      <c r="DB295">
        <v>32.299999999999997</v>
      </c>
      <c r="DC295">
        <v>0</v>
      </c>
      <c r="DD295">
        <v>30</v>
      </c>
      <c r="DE295" s="26" t="s">
        <v>1358</v>
      </c>
      <c r="DF295" t="s">
        <v>735</v>
      </c>
      <c r="DG295">
        <v>41.7</v>
      </c>
      <c r="DH295">
        <v>0</v>
      </c>
      <c r="DI295">
        <v>30</v>
      </c>
      <c r="DJ295" s="26" t="s">
        <v>1358</v>
      </c>
      <c r="DK295" t="s">
        <v>736</v>
      </c>
      <c r="DL295">
        <v>26</v>
      </c>
      <c r="DM295">
        <v>0</v>
      </c>
      <c r="DN295">
        <v>30</v>
      </c>
      <c r="DO295" s="26" t="s">
        <v>1358</v>
      </c>
      <c r="DP295" t="s">
        <v>1</v>
      </c>
      <c r="DQ295" t="s">
        <v>1</v>
      </c>
      <c r="DR295" t="s">
        <v>1</v>
      </c>
      <c r="DS295" t="s">
        <v>1</v>
      </c>
      <c r="DT295" t="s">
        <v>1</v>
      </c>
      <c r="DU295" t="s">
        <v>1</v>
      </c>
      <c r="EA295" t="s">
        <v>982</v>
      </c>
      <c r="EB295">
        <v>22</v>
      </c>
      <c r="EC295">
        <v>0</v>
      </c>
      <c r="ED295">
        <v>30</v>
      </c>
      <c r="EE295" s="26" t="s">
        <v>1358</v>
      </c>
      <c r="EF295" s="26"/>
      <c r="FZ295" t="s">
        <v>806</v>
      </c>
      <c r="GA295">
        <v>805</v>
      </c>
      <c r="GE295" s="26" t="s">
        <v>1358</v>
      </c>
      <c r="HA295" s="5" t="s">
        <v>1</v>
      </c>
      <c r="HB295" s="4" t="s">
        <v>1</v>
      </c>
      <c r="HC295" t="s">
        <v>1</v>
      </c>
      <c r="HD295" t="s">
        <v>1</v>
      </c>
      <c r="HE295" t="s">
        <v>1</v>
      </c>
      <c r="HF295" s="5" t="s">
        <v>1</v>
      </c>
      <c r="HG295" s="4" t="s">
        <v>1</v>
      </c>
      <c r="HH295" t="s">
        <v>1</v>
      </c>
      <c r="HI295" t="s">
        <v>1</v>
      </c>
      <c r="HJ295" t="s">
        <v>1</v>
      </c>
      <c r="HK295" t="s">
        <v>815</v>
      </c>
      <c r="HL295" s="34">
        <v>1.38</v>
      </c>
      <c r="HM295">
        <v>0</v>
      </c>
      <c r="HN295">
        <v>30</v>
      </c>
      <c r="HO295" t="s">
        <v>1452</v>
      </c>
      <c r="HP295" s="26" t="s">
        <v>1358</v>
      </c>
      <c r="HZ295" t="s">
        <v>971</v>
      </c>
      <c r="IA295">
        <v>56</v>
      </c>
      <c r="IB295" s="10" t="s">
        <v>1</v>
      </c>
      <c r="IC295" s="10"/>
      <c r="ID295" s="10"/>
      <c r="IE295" s="10" t="s">
        <v>1</v>
      </c>
      <c r="IF295" s="10" t="s">
        <v>1</v>
      </c>
      <c r="IG295" s="10"/>
      <c r="IH295" s="10"/>
      <c r="II295" s="10"/>
      <c r="IJ295" s="10"/>
      <c r="IK295" s="10"/>
      <c r="IL295" s="10"/>
      <c r="IM295" s="10"/>
      <c r="IN295" s="10"/>
      <c r="IO295" s="10"/>
      <c r="IP295" s="10"/>
      <c r="IQ295" s="10"/>
      <c r="IR295" s="10"/>
      <c r="IS295" t="s">
        <v>1</v>
      </c>
      <c r="IT295" t="s">
        <v>1</v>
      </c>
      <c r="IW295" t="s">
        <v>1</v>
      </c>
      <c r="IX295" t="s">
        <v>1</v>
      </c>
      <c r="IY295" t="s">
        <v>1</v>
      </c>
      <c r="IZ295" t="s">
        <v>1</v>
      </c>
      <c r="JA295" t="s">
        <v>1</v>
      </c>
      <c r="JB295" s="3" t="s">
        <v>1</v>
      </c>
      <c r="JC295" t="s">
        <v>1</v>
      </c>
      <c r="JD295" s="4" t="s">
        <v>1</v>
      </c>
      <c r="JE295" t="s">
        <v>810</v>
      </c>
      <c r="JF295">
        <v>100</v>
      </c>
      <c r="JR295" t="s">
        <v>1066</v>
      </c>
      <c r="JS295">
        <v>239</v>
      </c>
      <c r="JU295" t="s">
        <v>1</v>
      </c>
      <c r="JW295" t="s">
        <v>1</v>
      </c>
      <c r="JX295">
        <v>0</v>
      </c>
      <c r="JY295">
        <v>106</v>
      </c>
      <c r="JZ295" t="s">
        <v>801</v>
      </c>
      <c r="KA295" t="s">
        <v>320</v>
      </c>
      <c r="KB295" t="s">
        <v>738</v>
      </c>
      <c r="KC295" t="s">
        <v>1</v>
      </c>
      <c r="KD295" t="s">
        <v>1</v>
      </c>
      <c r="KE295" s="1" t="s">
        <v>1</v>
      </c>
      <c r="KF295" t="s">
        <v>1</v>
      </c>
      <c r="KG295" t="s">
        <v>1</v>
      </c>
      <c r="KH295" t="s">
        <v>1</v>
      </c>
      <c r="KI295" t="s">
        <v>1</v>
      </c>
      <c r="KJ295" t="s">
        <v>1</v>
      </c>
      <c r="KK295" t="s">
        <v>1</v>
      </c>
    </row>
    <row r="296" spans="1:297" x14ac:dyDescent="0.2">
      <c r="A296">
        <v>264</v>
      </c>
      <c r="B296" t="s">
        <v>705</v>
      </c>
      <c r="C296" t="s">
        <v>322</v>
      </c>
      <c r="D296" t="s">
        <v>317</v>
      </c>
      <c r="E296">
        <v>46</v>
      </c>
      <c r="F296" t="s">
        <v>318</v>
      </c>
      <c r="G296" t="s">
        <v>1</v>
      </c>
      <c r="H296" s="26" t="s">
        <v>1420</v>
      </c>
      <c r="I296" t="s">
        <v>1</v>
      </c>
      <c r="J296" t="s">
        <v>1</v>
      </c>
      <c r="K296" t="s">
        <v>1</v>
      </c>
      <c r="L296" t="s">
        <v>1</v>
      </c>
      <c r="M296" t="s">
        <v>1</v>
      </c>
      <c r="N296" t="s">
        <v>1</v>
      </c>
      <c r="O296" t="s">
        <v>1</v>
      </c>
      <c r="P296" t="s">
        <v>1</v>
      </c>
      <c r="Q296" t="s">
        <v>1</v>
      </c>
      <c r="R296" t="s">
        <v>1</v>
      </c>
      <c r="S296" t="s">
        <v>1</v>
      </c>
      <c r="T296" t="s">
        <v>1</v>
      </c>
      <c r="U296" t="s">
        <v>1</v>
      </c>
      <c r="V296" t="s">
        <v>1</v>
      </c>
      <c r="W296" t="s">
        <v>1</v>
      </c>
      <c r="X296" t="s">
        <v>1</v>
      </c>
      <c r="Y296" t="s">
        <v>1</v>
      </c>
      <c r="Z296" t="s">
        <v>1</v>
      </c>
      <c r="AA296" t="s">
        <v>1</v>
      </c>
      <c r="AB296" t="s">
        <v>1</v>
      </c>
      <c r="AC296" t="s">
        <v>1</v>
      </c>
      <c r="AD296" t="s">
        <v>1</v>
      </c>
      <c r="AE296" t="s">
        <v>1</v>
      </c>
      <c r="AF296" t="s">
        <v>1</v>
      </c>
      <c r="AG296" t="s">
        <v>1</v>
      </c>
      <c r="AH296" t="s">
        <v>1</v>
      </c>
      <c r="AI296" t="s">
        <v>1</v>
      </c>
      <c r="AJ296" t="s">
        <v>1</v>
      </c>
      <c r="AK296" t="s">
        <v>1</v>
      </c>
      <c r="AL296" t="s">
        <v>1</v>
      </c>
      <c r="AM296" t="s">
        <v>1</v>
      </c>
      <c r="AN296">
        <v>264</v>
      </c>
      <c r="AO296">
        <f t="shared" si="36"/>
        <v>264</v>
      </c>
      <c r="AP296">
        <f t="shared" si="40"/>
        <v>46</v>
      </c>
      <c r="AQ296">
        <f t="shared" si="41"/>
        <v>46</v>
      </c>
      <c r="AR296" s="26" t="s">
        <v>1355</v>
      </c>
      <c r="AS296" s="26" t="s">
        <v>1356</v>
      </c>
      <c r="AT296" t="s">
        <v>713</v>
      </c>
      <c r="AU296" t="s">
        <v>1</v>
      </c>
      <c r="AV296" t="s">
        <v>1</v>
      </c>
      <c r="AW296">
        <v>42.75</v>
      </c>
      <c r="AX296">
        <v>-94.5</v>
      </c>
      <c r="AY296" t="s">
        <v>737</v>
      </c>
      <c r="BA296" s="3">
        <v>3</v>
      </c>
      <c r="BB296" s="3"/>
      <c r="BC296" s="3"/>
      <c r="BD296" s="3"/>
      <c r="BE296" s="3"/>
      <c r="BF296">
        <v>1993</v>
      </c>
      <c r="BG296" s="24" t="s">
        <v>733</v>
      </c>
      <c r="BH296" s="24" t="s">
        <v>733</v>
      </c>
      <c r="BI296" s="24" t="s">
        <v>733</v>
      </c>
      <c r="BJ296" s="24" t="s">
        <v>732</v>
      </c>
      <c r="BK296" s="24" t="s">
        <v>733</v>
      </c>
      <c r="BL296" s="25" t="s">
        <v>733</v>
      </c>
      <c r="BM296" s="24" t="s">
        <v>733</v>
      </c>
      <c r="BN296" s="24" t="s">
        <v>732</v>
      </c>
      <c r="BO296" s="24" t="s">
        <v>733</v>
      </c>
      <c r="BP296" s="24" t="s">
        <v>733</v>
      </c>
      <c r="BQ296" s="24" t="s">
        <v>945</v>
      </c>
      <c r="BR296" s="24" t="s">
        <v>945</v>
      </c>
      <c r="BS296" s="25" t="s">
        <v>934</v>
      </c>
      <c r="BT296" s="24" t="s">
        <v>934</v>
      </c>
      <c r="BU296" s="24" t="s">
        <v>934</v>
      </c>
      <c r="BV296" s="24" t="s">
        <v>934</v>
      </c>
      <c r="BW296" s="24" t="s">
        <v>934</v>
      </c>
      <c r="BX296" s="24" t="s">
        <v>934</v>
      </c>
      <c r="BY296" s="25" t="s">
        <v>945</v>
      </c>
      <c r="BZ296" t="s">
        <v>5</v>
      </c>
      <c r="CB296" t="s">
        <v>1</v>
      </c>
      <c r="CC296" s="4">
        <f>8298*0.87</f>
        <v>7219.26</v>
      </c>
      <c r="CD296" s="4"/>
      <c r="CE296" s="4"/>
      <c r="CF296" t="s">
        <v>793</v>
      </c>
      <c r="CG296">
        <v>100</v>
      </c>
      <c r="CH296" t="s">
        <v>805</v>
      </c>
      <c r="CI296" s="28">
        <v>1.6</v>
      </c>
      <c r="CJ296" s="10" t="s">
        <v>1442</v>
      </c>
      <c r="CK296" s="9" t="s">
        <v>1</v>
      </c>
      <c r="CL296" s="4" t="s">
        <v>1</v>
      </c>
      <c r="CM296" s="4" t="s">
        <v>1</v>
      </c>
      <c r="CN296" s="4" t="s">
        <v>1</v>
      </c>
      <c r="CO296" s="4" t="s">
        <v>1</v>
      </c>
      <c r="CP296" s="4" t="s">
        <v>1</v>
      </c>
      <c r="CQ296" s="4" t="s">
        <v>1</v>
      </c>
      <c r="CR296" s="4" t="s">
        <v>1</v>
      </c>
      <c r="CS296" s="4" t="s">
        <v>1</v>
      </c>
      <c r="CT296" s="4" t="s">
        <v>1</v>
      </c>
      <c r="CU296" s="4" t="s">
        <v>1</v>
      </c>
      <c r="CV296" s="38" t="s">
        <v>851</v>
      </c>
      <c r="CW296">
        <v>100</v>
      </c>
      <c r="CX296">
        <v>0</v>
      </c>
      <c r="CY296">
        <v>30</v>
      </c>
      <c r="CZ296" s="26" t="s">
        <v>1358</v>
      </c>
      <c r="DA296" t="s">
        <v>734</v>
      </c>
      <c r="DB296">
        <v>32.299999999999997</v>
      </c>
      <c r="DC296">
        <v>0</v>
      </c>
      <c r="DD296">
        <v>30</v>
      </c>
      <c r="DE296" s="26" t="s">
        <v>1358</v>
      </c>
      <c r="DF296" t="s">
        <v>735</v>
      </c>
      <c r="DG296">
        <v>41.7</v>
      </c>
      <c r="DH296">
        <v>0</v>
      </c>
      <c r="DI296">
        <v>30</v>
      </c>
      <c r="DJ296" s="26" t="s">
        <v>1358</v>
      </c>
      <c r="DK296" t="s">
        <v>736</v>
      </c>
      <c r="DL296">
        <v>26</v>
      </c>
      <c r="DM296">
        <v>0</v>
      </c>
      <c r="DN296">
        <v>30</v>
      </c>
      <c r="DO296" s="26" t="s">
        <v>1358</v>
      </c>
      <c r="DP296" t="s">
        <v>1</v>
      </c>
      <c r="DQ296" t="s">
        <v>1</v>
      </c>
      <c r="DR296" t="s">
        <v>1</v>
      </c>
      <c r="DS296" t="s">
        <v>1</v>
      </c>
      <c r="DT296" t="s">
        <v>1</v>
      </c>
      <c r="DU296" t="s">
        <v>1</v>
      </c>
      <c r="EA296" t="s">
        <v>982</v>
      </c>
      <c r="EB296">
        <v>22</v>
      </c>
      <c r="EC296">
        <v>0</v>
      </c>
      <c r="ED296">
        <v>30</v>
      </c>
      <c r="EE296" s="26" t="s">
        <v>1358</v>
      </c>
      <c r="EF296" s="26"/>
      <c r="FZ296" t="s">
        <v>806</v>
      </c>
      <c r="GA296">
        <v>805</v>
      </c>
      <c r="GE296" s="26" t="s">
        <v>1358</v>
      </c>
      <c r="HA296" s="5" t="s">
        <v>1</v>
      </c>
      <c r="HB296" s="4" t="s">
        <v>1</v>
      </c>
      <c r="HC296" t="s">
        <v>1</v>
      </c>
      <c r="HD296" t="s">
        <v>1</v>
      </c>
      <c r="HE296" t="s">
        <v>1</v>
      </c>
      <c r="HF296" s="5" t="s">
        <v>1</v>
      </c>
      <c r="HG296" s="4" t="s">
        <v>1</v>
      </c>
      <c r="HH296" t="s">
        <v>1</v>
      </c>
      <c r="HI296" t="s">
        <v>1</v>
      </c>
      <c r="HJ296" t="s">
        <v>1</v>
      </c>
      <c r="HK296" t="s">
        <v>815</v>
      </c>
      <c r="HL296" s="34">
        <v>1.38</v>
      </c>
      <c r="HM296">
        <v>0</v>
      </c>
      <c r="HN296">
        <v>30</v>
      </c>
      <c r="HO296" t="s">
        <v>1452</v>
      </c>
      <c r="HP296" s="26" t="s">
        <v>1358</v>
      </c>
      <c r="HZ296" t="s">
        <v>971</v>
      </c>
      <c r="IA296">
        <v>112</v>
      </c>
      <c r="IB296" s="10" t="s">
        <v>1</v>
      </c>
      <c r="IC296" s="10"/>
      <c r="ID296" s="10"/>
      <c r="IE296" s="10" t="s">
        <v>1</v>
      </c>
      <c r="IF296" s="10" t="s">
        <v>1</v>
      </c>
      <c r="IG296" s="10"/>
      <c r="IH296" s="10"/>
      <c r="II296" s="10"/>
      <c r="IJ296" s="10"/>
      <c r="IK296" s="10"/>
      <c r="IL296" s="10"/>
      <c r="IM296" s="10"/>
      <c r="IN296" s="10"/>
      <c r="IO296" s="10"/>
      <c r="IP296" s="10"/>
      <c r="IQ296" s="10"/>
      <c r="IR296" s="10"/>
      <c r="IS296" t="s">
        <v>1</v>
      </c>
      <c r="IT296" t="s">
        <v>1</v>
      </c>
      <c r="IW296" t="s">
        <v>1</v>
      </c>
      <c r="IX296" t="s">
        <v>1</v>
      </c>
      <c r="IY296" t="s">
        <v>1</v>
      </c>
      <c r="IZ296" t="s">
        <v>1</v>
      </c>
      <c r="JA296" t="s">
        <v>1</v>
      </c>
      <c r="JB296" s="3" t="s">
        <v>1</v>
      </c>
      <c r="JC296" t="s">
        <v>1</v>
      </c>
      <c r="JD296" s="4" t="s">
        <v>1</v>
      </c>
      <c r="JE296" t="s">
        <v>810</v>
      </c>
      <c r="JF296">
        <v>100</v>
      </c>
      <c r="JR296" t="s">
        <v>1066</v>
      </c>
      <c r="JS296">
        <v>327.60000000000002</v>
      </c>
      <c r="JU296" t="s">
        <v>1</v>
      </c>
      <c r="JW296" t="s">
        <v>1</v>
      </c>
      <c r="JX296">
        <v>0</v>
      </c>
      <c r="JY296">
        <v>106</v>
      </c>
      <c r="JZ296" t="s">
        <v>801</v>
      </c>
      <c r="KA296" t="s">
        <v>320</v>
      </c>
      <c r="KB296" t="s">
        <v>738</v>
      </c>
      <c r="KC296" t="s">
        <v>1</v>
      </c>
      <c r="KD296" t="s">
        <v>1</v>
      </c>
      <c r="KE296" s="1" t="s">
        <v>1</v>
      </c>
      <c r="KF296" t="s">
        <v>1</v>
      </c>
      <c r="KG296" t="s">
        <v>1</v>
      </c>
      <c r="KH296" t="s">
        <v>1</v>
      </c>
      <c r="KI296" t="s">
        <v>1</v>
      </c>
      <c r="KJ296" t="s">
        <v>1</v>
      </c>
      <c r="KK296" t="s">
        <v>1</v>
      </c>
    </row>
    <row r="297" spans="1:297" x14ac:dyDescent="0.2">
      <c r="A297">
        <v>265</v>
      </c>
      <c r="B297" t="s">
        <v>705</v>
      </c>
      <c r="C297" t="s">
        <v>323</v>
      </c>
      <c r="D297" t="s">
        <v>317</v>
      </c>
      <c r="E297">
        <v>46</v>
      </c>
      <c r="F297" t="s">
        <v>318</v>
      </c>
      <c r="G297" t="s">
        <v>1</v>
      </c>
      <c r="H297" s="26" t="s">
        <v>1420</v>
      </c>
      <c r="I297" t="s">
        <v>1</v>
      </c>
      <c r="J297" t="s">
        <v>1</v>
      </c>
      <c r="K297" t="s">
        <v>1</v>
      </c>
      <c r="L297" t="s">
        <v>1</v>
      </c>
      <c r="M297" t="s">
        <v>1</v>
      </c>
      <c r="N297" t="s">
        <v>1</v>
      </c>
      <c r="O297" t="s">
        <v>1</v>
      </c>
      <c r="P297" t="s">
        <v>1</v>
      </c>
      <c r="Q297" t="s">
        <v>1</v>
      </c>
      <c r="R297" t="s">
        <v>1</v>
      </c>
      <c r="S297" t="s">
        <v>1</v>
      </c>
      <c r="T297" t="s">
        <v>1</v>
      </c>
      <c r="U297" t="s">
        <v>1</v>
      </c>
      <c r="V297" t="s">
        <v>1</v>
      </c>
      <c r="W297" t="s">
        <v>1</v>
      </c>
      <c r="X297" t="s">
        <v>1</v>
      </c>
      <c r="Y297" t="s">
        <v>1</v>
      </c>
      <c r="Z297" t="s">
        <v>1</v>
      </c>
      <c r="AA297" t="s">
        <v>1</v>
      </c>
      <c r="AB297" t="s">
        <v>1</v>
      </c>
      <c r="AC297" t="s">
        <v>1</v>
      </c>
      <c r="AD297" t="s">
        <v>1</v>
      </c>
      <c r="AE297" t="s">
        <v>1</v>
      </c>
      <c r="AF297" t="s">
        <v>1</v>
      </c>
      <c r="AG297" t="s">
        <v>1</v>
      </c>
      <c r="AH297" t="s">
        <v>1</v>
      </c>
      <c r="AI297" t="s">
        <v>1</v>
      </c>
      <c r="AJ297" t="s">
        <v>1</v>
      </c>
      <c r="AK297" t="s">
        <v>1</v>
      </c>
      <c r="AL297" t="s">
        <v>1</v>
      </c>
      <c r="AM297" t="s">
        <v>1</v>
      </c>
      <c r="AN297">
        <v>265</v>
      </c>
      <c r="AO297">
        <f t="shared" si="36"/>
        <v>265</v>
      </c>
      <c r="AP297">
        <f t="shared" si="40"/>
        <v>46</v>
      </c>
      <c r="AQ297">
        <f t="shared" si="41"/>
        <v>46</v>
      </c>
      <c r="AR297" s="26" t="s">
        <v>1355</v>
      </c>
      <c r="AS297" s="26" t="s">
        <v>1356</v>
      </c>
      <c r="AT297" t="s">
        <v>713</v>
      </c>
      <c r="AU297" t="s">
        <v>1</v>
      </c>
      <c r="AV297" t="s">
        <v>1</v>
      </c>
      <c r="AW297">
        <v>42.75</v>
      </c>
      <c r="AX297">
        <v>-94.5</v>
      </c>
      <c r="AY297" t="s">
        <v>737</v>
      </c>
      <c r="BA297" s="3">
        <v>3</v>
      </c>
      <c r="BB297" s="3"/>
      <c r="BC297" s="3"/>
      <c r="BD297" s="3"/>
      <c r="BE297" s="3"/>
      <c r="BF297">
        <v>1993</v>
      </c>
      <c r="BG297" s="24" t="s">
        <v>733</v>
      </c>
      <c r="BH297" s="24" t="s">
        <v>733</v>
      </c>
      <c r="BI297" s="24" t="s">
        <v>733</v>
      </c>
      <c r="BJ297" s="24" t="s">
        <v>732</v>
      </c>
      <c r="BK297" s="24" t="s">
        <v>733</v>
      </c>
      <c r="BL297" s="25" t="s">
        <v>733</v>
      </c>
      <c r="BM297" s="24" t="s">
        <v>733</v>
      </c>
      <c r="BN297" s="24" t="s">
        <v>732</v>
      </c>
      <c r="BO297" s="24" t="s">
        <v>733</v>
      </c>
      <c r="BP297" s="24" t="s">
        <v>733</v>
      </c>
      <c r="BQ297" s="24" t="s">
        <v>945</v>
      </c>
      <c r="BR297" s="24" t="s">
        <v>945</v>
      </c>
      <c r="BS297" s="25" t="s">
        <v>934</v>
      </c>
      <c r="BT297" s="24" t="s">
        <v>934</v>
      </c>
      <c r="BU297" s="24" t="s">
        <v>934</v>
      </c>
      <c r="BV297" s="24" t="s">
        <v>934</v>
      </c>
      <c r="BW297" s="24" t="s">
        <v>934</v>
      </c>
      <c r="BX297" s="24" t="s">
        <v>934</v>
      </c>
      <c r="BY297" s="25" t="s">
        <v>945</v>
      </c>
      <c r="BZ297" t="s">
        <v>5</v>
      </c>
      <c r="CB297" t="s">
        <v>1</v>
      </c>
      <c r="CC297" s="4">
        <f>8527*0.87</f>
        <v>7418.49</v>
      </c>
      <c r="CD297" s="4"/>
      <c r="CE297" s="4"/>
      <c r="CF297" t="s">
        <v>793</v>
      </c>
      <c r="CG297">
        <v>100</v>
      </c>
      <c r="CH297" t="s">
        <v>805</v>
      </c>
      <c r="CI297" s="28">
        <v>1.6</v>
      </c>
      <c r="CJ297" s="10" t="s">
        <v>1442</v>
      </c>
      <c r="CK297" s="9" t="s">
        <v>1</v>
      </c>
      <c r="CL297" s="4" t="s">
        <v>1</v>
      </c>
      <c r="CM297" s="4" t="s">
        <v>1</v>
      </c>
      <c r="CN297" s="4" t="s">
        <v>1</v>
      </c>
      <c r="CO297" s="4" t="s">
        <v>1</v>
      </c>
      <c r="CP297" s="4" t="s">
        <v>1</v>
      </c>
      <c r="CQ297" s="4" t="s">
        <v>1</v>
      </c>
      <c r="CR297" s="4" t="s">
        <v>1</v>
      </c>
      <c r="CS297" s="4" t="s">
        <v>1</v>
      </c>
      <c r="CT297" s="4" t="s">
        <v>1</v>
      </c>
      <c r="CU297" s="4" t="s">
        <v>1</v>
      </c>
      <c r="CV297" s="38" t="s">
        <v>851</v>
      </c>
      <c r="CW297">
        <v>100</v>
      </c>
      <c r="CX297">
        <v>0</v>
      </c>
      <c r="CY297">
        <v>30</v>
      </c>
      <c r="CZ297" s="26" t="s">
        <v>1358</v>
      </c>
      <c r="DA297" t="s">
        <v>734</v>
      </c>
      <c r="DB297">
        <v>32.299999999999997</v>
      </c>
      <c r="DC297">
        <v>0</v>
      </c>
      <c r="DD297">
        <v>30</v>
      </c>
      <c r="DE297" s="26" t="s">
        <v>1358</v>
      </c>
      <c r="DF297" t="s">
        <v>735</v>
      </c>
      <c r="DG297">
        <v>41.7</v>
      </c>
      <c r="DH297">
        <v>0</v>
      </c>
      <c r="DI297">
        <v>30</v>
      </c>
      <c r="DJ297" s="26" t="s">
        <v>1358</v>
      </c>
      <c r="DK297" t="s">
        <v>736</v>
      </c>
      <c r="DL297">
        <v>26</v>
      </c>
      <c r="DM297">
        <v>0</v>
      </c>
      <c r="DN297">
        <v>30</v>
      </c>
      <c r="DO297" s="26" t="s">
        <v>1358</v>
      </c>
      <c r="DP297" t="s">
        <v>1</v>
      </c>
      <c r="DQ297" t="s">
        <v>1</v>
      </c>
      <c r="DR297" t="s">
        <v>1</v>
      </c>
      <c r="DS297" t="s">
        <v>1</v>
      </c>
      <c r="DT297" t="s">
        <v>1</v>
      </c>
      <c r="DU297" t="s">
        <v>1</v>
      </c>
      <c r="EA297" t="s">
        <v>982</v>
      </c>
      <c r="EB297">
        <v>22</v>
      </c>
      <c r="EC297">
        <v>0</v>
      </c>
      <c r="ED297">
        <v>30</v>
      </c>
      <c r="EE297" s="26" t="s">
        <v>1358</v>
      </c>
      <c r="EF297" s="26"/>
      <c r="FZ297" t="s">
        <v>806</v>
      </c>
      <c r="GA297">
        <v>805</v>
      </c>
      <c r="GE297" s="26" t="s">
        <v>1358</v>
      </c>
      <c r="HA297" s="5" t="s">
        <v>1</v>
      </c>
      <c r="HB297" s="4" t="s">
        <v>1</v>
      </c>
      <c r="HC297" t="s">
        <v>1</v>
      </c>
      <c r="HD297" t="s">
        <v>1</v>
      </c>
      <c r="HE297" t="s">
        <v>1</v>
      </c>
      <c r="HF297" s="5" t="s">
        <v>1</v>
      </c>
      <c r="HG297" s="4" t="s">
        <v>1</v>
      </c>
      <c r="HH297" t="s">
        <v>1</v>
      </c>
      <c r="HI297" t="s">
        <v>1</v>
      </c>
      <c r="HJ297" t="s">
        <v>1</v>
      </c>
      <c r="HK297" t="s">
        <v>815</v>
      </c>
      <c r="HL297" s="34">
        <v>1.38</v>
      </c>
      <c r="HM297">
        <v>0</v>
      </c>
      <c r="HN297">
        <v>30</v>
      </c>
      <c r="HO297" t="s">
        <v>1452</v>
      </c>
      <c r="HP297" s="26" t="s">
        <v>1358</v>
      </c>
      <c r="HZ297" t="s">
        <v>971</v>
      </c>
      <c r="IA297">
        <v>168</v>
      </c>
      <c r="IB297" s="10" t="s">
        <v>1</v>
      </c>
      <c r="IC297" s="10"/>
      <c r="ID297" s="10"/>
      <c r="IE297" s="10" t="s">
        <v>1</v>
      </c>
      <c r="IF297" s="10" t="s">
        <v>1</v>
      </c>
      <c r="IG297" s="10"/>
      <c r="IH297" s="10"/>
      <c r="II297" s="10"/>
      <c r="IJ297" s="10"/>
      <c r="IK297" s="10"/>
      <c r="IL297" s="10"/>
      <c r="IM297" s="10"/>
      <c r="IN297" s="10"/>
      <c r="IO297" s="10"/>
      <c r="IP297" s="10"/>
      <c r="IQ297" s="10"/>
      <c r="IR297" s="10"/>
      <c r="IS297" t="s">
        <v>1</v>
      </c>
      <c r="IT297" t="s">
        <v>1</v>
      </c>
      <c r="IW297" t="s">
        <v>1</v>
      </c>
      <c r="IX297" t="s">
        <v>1</v>
      </c>
      <c r="IY297" t="s">
        <v>1</v>
      </c>
      <c r="IZ297" t="s">
        <v>1</v>
      </c>
      <c r="JA297" t="s">
        <v>1</v>
      </c>
      <c r="JB297" s="3" t="s">
        <v>1</v>
      </c>
      <c r="JC297" t="s">
        <v>1</v>
      </c>
      <c r="JD297" s="4" t="s">
        <v>1</v>
      </c>
      <c r="JE297" t="s">
        <v>810</v>
      </c>
      <c r="JF297">
        <v>100</v>
      </c>
      <c r="JR297" t="s">
        <v>1066</v>
      </c>
      <c r="JS297">
        <v>261.2</v>
      </c>
      <c r="JU297" t="s">
        <v>1</v>
      </c>
      <c r="JW297" t="s">
        <v>1</v>
      </c>
      <c r="JX297">
        <v>0</v>
      </c>
      <c r="JY297">
        <v>106</v>
      </c>
      <c r="JZ297" t="s">
        <v>801</v>
      </c>
      <c r="KA297" t="s">
        <v>320</v>
      </c>
      <c r="KB297" t="s">
        <v>738</v>
      </c>
      <c r="KC297" t="s">
        <v>1</v>
      </c>
      <c r="KD297" t="s">
        <v>1</v>
      </c>
      <c r="KE297" s="1" t="s">
        <v>1</v>
      </c>
      <c r="KF297" t="s">
        <v>1</v>
      </c>
      <c r="KG297" t="s">
        <v>1</v>
      </c>
      <c r="KH297" t="s">
        <v>1</v>
      </c>
      <c r="KI297" t="s">
        <v>1</v>
      </c>
      <c r="KJ297" t="s">
        <v>1</v>
      </c>
      <c r="KK297" t="s">
        <v>1</v>
      </c>
    </row>
    <row r="298" spans="1:297" x14ac:dyDescent="0.2">
      <c r="A298">
        <v>266</v>
      </c>
      <c r="B298" t="s">
        <v>705</v>
      </c>
      <c r="C298" t="s">
        <v>326</v>
      </c>
      <c r="D298" t="s">
        <v>324</v>
      </c>
      <c r="E298">
        <v>47</v>
      </c>
      <c r="F298" t="s">
        <v>325</v>
      </c>
      <c r="G298" t="s">
        <v>1</v>
      </c>
      <c r="H298" s="26" t="s">
        <v>1420</v>
      </c>
      <c r="I298" t="s">
        <v>1</v>
      </c>
      <c r="J298" t="s">
        <v>1</v>
      </c>
      <c r="K298" t="s">
        <v>1</v>
      </c>
      <c r="L298" t="s">
        <v>1</v>
      </c>
      <c r="M298" t="s">
        <v>1</v>
      </c>
      <c r="N298" t="s">
        <v>1</v>
      </c>
      <c r="O298" t="s">
        <v>1</v>
      </c>
      <c r="P298" t="s">
        <v>1</v>
      </c>
      <c r="Q298" t="s">
        <v>1</v>
      </c>
      <c r="R298" t="s">
        <v>1</v>
      </c>
      <c r="S298" t="s">
        <v>1</v>
      </c>
      <c r="T298" t="s">
        <v>1</v>
      </c>
      <c r="U298" t="s">
        <v>1</v>
      </c>
      <c r="V298" t="s">
        <v>1</v>
      </c>
      <c r="W298" t="s">
        <v>1</v>
      </c>
      <c r="X298" t="s">
        <v>1</v>
      </c>
      <c r="Y298" t="s">
        <v>1</v>
      </c>
      <c r="Z298" t="s">
        <v>1</v>
      </c>
      <c r="AA298" t="s">
        <v>1</v>
      </c>
      <c r="AB298" t="s">
        <v>1</v>
      </c>
      <c r="AC298" t="s">
        <v>1</v>
      </c>
      <c r="AD298" t="s">
        <v>1</v>
      </c>
      <c r="AE298" t="s">
        <v>1</v>
      </c>
      <c r="AF298" t="s">
        <v>1</v>
      </c>
      <c r="AG298" t="s">
        <v>1</v>
      </c>
      <c r="AH298" t="s">
        <v>1</v>
      </c>
      <c r="AI298" t="s">
        <v>1</v>
      </c>
      <c r="AJ298" t="s">
        <v>1</v>
      </c>
      <c r="AK298" t="s">
        <v>1</v>
      </c>
      <c r="AL298" t="s">
        <v>1</v>
      </c>
      <c r="AM298" t="s">
        <v>1</v>
      </c>
      <c r="AN298">
        <v>266</v>
      </c>
      <c r="AO298">
        <f t="shared" si="36"/>
        <v>266</v>
      </c>
      <c r="AP298">
        <f t="shared" si="40"/>
        <v>47</v>
      </c>
      <c r="AQ298">
        <f t="shared" si="41"/>
        <v>47</v>
      </c>
      <c r="AR298" s="26" t="s">
        <v>1355</v>
      </c>
      <c r="AS298" s="26" t="s">
        <v>1356</v>
      </c>
      <c r="AT298" t="s">
        <v>710</v>
      </c>
      <c r="AU298" t="s">
        <v>1</v>
      </c>
      <c r="AV298" t="s">
        <v>1</v>
      </c>
      <c r="AW298">
        <v>31.23</v>
      </c>
      <c r="AX298">
        <v>119.88</v>
      </c>
      <c r="AY298" t="s">
        <v>737</v>
      </c>
      <c r="BA298" s="3">
        <v>4</v>
      </c>
      <c r="BB298" s="3"/>
      <c r="BC298" s="3"/>
      <c r="BD298" s="3"/>
      <c r="BE298" s="3"/>
      <c r="BF298">
        <v>2009</v>
      </c>
      <c r="BG298" s="24" t="s">
        <v>733</v>
      </c>
      <c r="BH298" s="24" t="s">
        <v>733</v>
      </c>
      <c r="BI298" s="24" t="s">
        <v>733</v>
      </c>
      <c r="BJ298" s="24" t="s">
        <v>732</v>
      </c>
      <c r="BK298" s="24" t="s">
        <v>733</v>
      </c>
      <c r="BL298" s="25" t="s">
        <v>733</v>
      </c>
      <c r="BM298" s="24" t="s">
        <v>733</v>
      </c>
      <c r="BN298" s="24" t="s">
        <v>732</v>
      </c>
      <c r="BO298" s="24" t="s">
        <v>733</v>
      </c>
      <c r="BP298" s="24" t="s">
        <v>733</v>
      </c>
      <c r="BQ298" s="24" t="s">
        <v>945</v>
      </c>
      <c r="BR298" s="24" t="s">
        <v>945</v>
      </c>
      <c r="BS298" s="25" t="s">
        <v>934</v>
      </c>
      <c r="BT298" s="24" t="s">
        <v>934</v>
      </c>
      <c r="BU298" s="24" t="s">
        <v>934</v>
      </c>
      <c r="BV298" s="24" t="s">
        <v>934</v>
      </c>
      <c r="BW298" s="24" t="s">
        <v>934</v>
      </c>
      <c r="BX298" s="24" t="s">
        <v>934</v>
      </c>
      <c r="BY298" s="25" t="s">
        <v>945</v>
      </c>
      <c r="BZ298" t="s">
        <v>788</v>
      </c>
      <c r="CB298" t="s">
        <v>327</v>
      </c>
      <c r="CC298" s="4">
        <f>SUM(26284*0.073,18037*0.1,43376*0.1)</f>
        <v>8060.0320000000002</v>
      </c>
      <c r="CD298" s="4"/>
      <c r="CE298" s="4"/>
      <c r="CF298" t="s">
        <v>793</v>
      </c>
      <c r="CG298">
        <v>100</v>
      </c>
      <c r="CH298" t="s">
        <v>805</v>
      </c>
      <c r="CI298" s="1">
        <v>1</v>
      </c>
      <c r="CJ298" s="10" t="s">
        <v>1445</v>
      </c>
      <c r="CK298" s="9" t="s">
        <v>1</v>
      </c>
      <c r="CL298" s="4" t="s">
        <v>1</v>
      </c>
      <c r="CM298" t="s">
        <v>847</v>
      </c>
      <c r="CN298" s="34">
        <f>AVERAGE(62.1,67.3)</f>
        <v>64.7</v>
      </c>
      <c r="CO298" s="4" t="s">
        <v>1</v>
      </c>
      <c r="CP298" s="4" t="s">
        <v>1</v>
      </c>
      <c r="CQ298" s="4" t="s">
        <v>1</v>
      </c>
      <c r="CR298" s="4" t="s">
        <v>1</v>
      </c>
      <c r="CS298" s="4" t="s">
        <v>1</v>
      </c>
      <c r="CT298" s="4" t="s">
        <v>1</v>
      </c>
      <c r="CU298" s="4" t="s">
        <v>1</v>
      </c>
      <c r="CV298" t="s">
        <v>1068</v>
      </c>
      <c r="CW298">
        <v>100</v>
      </c>
      <c r="CX298">
        <v>0</v>
      </c>
      <c r="CY298">
        <v>20</v>
      </c>
      <c r="CZ298" s="26" t="s">
        <v>1358</v>
      </c>
      <c r="DA298" t="s">
        <v>734</v>
      </c>
      <c r="DB298">
        <v>8.3000000000000007</v>
      </c>
      <c r="DC298">
        <v>0</v>
      </c>
      <c r="DD298">
        <v>20</v>
      </c>
      <c r="DE298" s="26" t="s">
        <v>1358</v>
      </c>
      <c r="DF298" t="s">
        <v>735</v>
      </c>
      <c r="DG298">
        <v>76.400000000000006</v>
      </c>
      <c r="DH298">
        <v>0</v>
      </c>
      <c r="DI298">
        <v>20</v>
      </c>
      <c r="DJ298" s="26" t="s">
        <v>1358</v>
      </c>
      <c r="DK298" t="s">
        <v>736</v>
      </c>
      <c r="DL298">
        <v>15.3</v>
      </c>
      <c r="DM298">
        <v>0</v>
      </c>
      <c r="DN298">
        <v>20</v>
      </c>
      <c r="DO298" s="26" t="s">
        <v>1358</v>
      </c>
      <c r="DP298" t="s">
        <v>6</v>
      </c>
      <c r="DQ298" t="s">
        <v>813</v>
      </c>
      <c r="DR298">
        <v>5.6</v>
      </c>
      <c r="DS298">
        <v>0</v>
      </c>
      <c r="DT298">
        <v>20</v>
      </c>
      <c r="DU298" s="26" t="s">
        <v>1358</v>
      </c>
      <c r="EA298" t="s">
        <v>982</v>
      </c>
      <c r="EB298">
        <v>14.399999999999999</v>
      </c>
      <c r="EC298">
        <v>0</v>
      </c>
      <c r="ED298">
        <v>20</v>
      </c>
      <c r="EE298" s="26" t="s">
        <v>1358</v>
      </c>
      <c r="EF298" s="26"/>
      <c r="FZ298" t="s">
        <v>806</v>
      </c>
      <c r="GA298">
        <v>648</v>
      </c>
      <c r="GE298" s="26" t="s">
        <v>1358</v>
      </c>
      <c r="HA298" s="5" t="s">
        <v>1</v>
      </c>
      <c r="HB298" s="4" t="s">
        <v>1</v>
      </c>
      <c r="HC298" t="s">
        <v>1</v>
      </c>
      <c r="HD298" t="s">
        <v>1</v>
      </c>
      <c r="HE298" t="s">
        <v>1</v>
      </c>
      <c r="HF298" s="5" t="s">
        <v>1063</v>
      </c>
      <c r="HG298" s="4">
        <v>1.04</v>
      </c>
      <c r="HH298">
        <v>0</v>
      </c>
      <c r="HI298">
        <v>20</v>
      </c>
      <c r="HJ298" s="26" t="s">
        <v>1358</v>
      </c>
      <c r="HK298" t="s">
        <v>815</v>
      </c>
      <c r="HL298">
        <v>1.44</v>
      </c>
      <c r="HM298">
        <v>0</v>
      </c>
      <c r="HN298">
        <v>20</v>
      </c>
      <c r="HO298" t="s">
        <v>1</v>
      </c>
      <c r="HP298" s="26" t="s">
        <v>1358</v>
      </c>
      <c r="HZ298" t="s">
        <v>1</v>
      </c>
      <c r="IA298" t="s">
        <v>1</v>
      </c>
      <c r="IB298" s="10" t="s">
        <v>1</v>
      </c>
      <c r="IC298" s="10"/>
      <c r="ID298" s="10"/>
      <c r="IE298" s="10" t="s">
        <v>1</v>
      </c>
      <c r="IF298" s="10" t="s">
        <v>1</v>
      </c>
      <c r="IG298" s="10"/>
      <c r="IH298" s="10"/>
      <c r="II298" s="10"/>
      <c r="IJ298" s="10"/>
      <c r="IK298" s="10"/>
      <c r="IL298" s="10"/>
      <c r="IM298" s="10"/>
      <c r="IN298" s="10"/>
      <c r="IO298" s="10"/>
      <c r="IP298" s="10"/>
      <c r="IQ298" s="10"/>
      <c r="IR298" s="10"/>
      <c r="IS298" t="s">
        <v>978</v>
      </c>
      <c r="IT298">
        <v>234</v>
      </c>
      <c r="IW298" t="s">
        <v>1</v>
      </c>
      <c r="IX298" t="s">
        <v>1</v>
      </c>
      <c r="IY298" t="s">
        <v>808</v>
      </c>
      <c r="IZ298">
        <v>2693</v>
      </c>
      <c r="JA298" t="s">
        <v>1</v>
      </c>
      <c r="JB298" s="3" t="s">
        <v>1</v>
      </c>
      <c r="JC298" t="s">
        <v>1</v>
      </c>
      <c r="JD298" s="4" t="s">
        <v>1</v>
      </c>
      <c r="JE298" t="s">
        <v>1</v>
      </c>
      <c r="JF298" t="s">
        <v>1</v>
      </c>
      <c r="JR298" t="s">
        <v>1066</v>
      </c>
      <c r="JS298">
        <v>62</v>
      </c>
      <c r="JU298" t="s">
        <v>1</v>
      </c>
      <c r="JW298" t="s">
        <v>1</v>
      </c>
      <c r="JX298">
        <v>0</v>
      </c>
      <c r="JY298">
        <v>50</v>
      </c>
      <c r="JZ298" t="s">
        <v>796</v>
      </c>
      <c r="KA298" t="s">
        <v>198</v>
      </c>
      <c r="KB298" t="s">
        <v>738</v>
      </c>
      <c r="KC298" t="s">
        <v>1</v>
      </c>
      <c r="KD298" t="s">
        <v>1</v>
      </c>
      <c r="KE298" s="1" t="s">
        <v>1</v>
      </c>
      <c r="KF298" t="s">
        <v>1</v>
      </c>
      <c r="KG298" t="s">
        <v>1</v>
      </c>
      <c r="KH298" t="s">
        <v>1</v>
      </c>
      <c r="KI298" t="s">
        <v>1</v>
      </c>
      <c r="KJ298" t="s">
        <v>1</v>
      </c>
      <c r="KK298" t="s">
        <v>1</v>
      </c>
    </row>
    <row r="299" spans="1:297" x14ac:dyDescent="0.2">
      <c r="A299">
        <v>267</v>
      </c>
      <c r="B299" t="s">
        <v>705</v>
      </c>
      <c r="C299" t="s">
        <v>328</v>
      </c>
      <c r="D299" t="s">
        <v>324</v>
      </c>
      <c r="E299">
        <v>47</v>
      </c>
      <c r="F299" t="s">
        <v>325</v>
      </c>
      <c r="G299" t="s">
        <v>1</v>
      </c>
      <c r="H299" s="26" t="s">
        <v>1420</v>
      </c>
      <c r="I299" t="s">
        <v>1</v>
      </c>
      <c r="J299" t="s">
        <v>1</v>
      </c>
      <c r="K299" t="s">
        <v>1</v>
      </c>
      <c r="L299" t="s">
        <v>1</v>
      </c>
      <c r="M299" t="s">
        <v>1</v>
      </c>
      <c r="N299" t="s">
        <v>1</v>
      </c>
      <c r="O299" t="s">
        <v>1</v>
      </c>
      <c r="P299" t="s">
        <v>1</v>
      </c>
      <c r="Q299" t="s">
        <v>1</v>
      </c>
      <c r="R299" t="s">
        <v>1</v>
      </c>
      <c r="S299" t="s">
        <v>1</v>
      </c>
      <c r="T299" t="s">
        <v>1</v>
      </c>
      <c r="U299" t="s">
        <v>1</v>
      </c>
      <c r="V299" t="s">
        <v>1</v>
      </c>
      <c r="W299" t="s">
        <v>1</v>
      </c>
      <c r="X299" t="s">
        <v>1</v>
      </c>
      <c r="Y299" t="s">
        <v>1</v>
      </c>
      <c r="Z299" t="s">
        <v>1</v>
      </c>
      <c r="AA299" t="s">
        <v>1</v>
      </c>
      <c r="AB299" t="s">
        <v>1</v>
      </c>
      <c r="AC299" t="s">
        <v>1</v>
      </c>
      <c r="AD299" t="s">
        <v>1</v>
      </c>
      <c r="AE299" t="s">
        <v>1</v>
      </c>
      <c r="AF299" t="s">
        <v>1</v>
      </c>
      <c r="AG299" t="s">
        <v>1</v>
      </c>
      <c r="AH299" t="s">
        <v>1</v>
      </c>
      <c r="AI299" t="s">
        <v>1</v>
      </c>
      <c r="AJ299" t="s">
        <v>1</v>
      </c>
      <c r="AK299" t="s">
        <v>1</v>
      </c>
      <c r="AL299" t="s">
        <v>1</v>
      </c>
      <c r="AM299" t="s">
        <v>1</v>
      </c>
      <c r="AN299">
        <v>267</v>
      </c>
      <c r="AO299">
        <f t="shared" si="36"/>
        <v>267</v>
      </c>
      <c r="AP299">
        <f t="shared" si="40"/>
        <v>47</v>
      </c>
      <c r="AQ299">
        <f t="shared" si="41"/>
        <v>47</v>
      </c>
      <c r="AR299" s="26" t="s">
        <v>1355</v>
      </c>
      <c r="AS299" s="26" t="s">
        <v>1356</v>
      </c>
      <c r="AT299" t="s">
        <v>710</v>
      </c>
      <c r="AU299" t="s">
        <v>1</v>
      </c>
      <c r="AV299" t="s">
        <v>1</v>
      </c>
      <c r="AW299">
        <v>31.23</v>
      </c>
      <c r="AX299">
        <v>119.88</v>
      </c>
      <c r="AY299" t="s">
        <v>737</v>
      </c>
      <c r="BA299" s="3">
        <v>4</v>
      </c>
      <c r="BB299" s="3"/>
      <c r="BC299" s="3"/>
      <c r="BD299" s="3"/>
      <c r="BE299" s="3"/>
      <c r="BF299">
        <v>2009</v>
      </c>
      <c r="BG299" s="24" t="s">
        <v>733</v>
      </c>
      <c r="BH299" s="24" t="s">
        <v>733</v>
      </c>
      <c r="BI299" s="24" t="s">
        <v>733</v>
      </c>
      <c r="BJ299" s="24" t="s">
        <v>732</v>
      </c>
      <c r="BK299" s="24" t="s">
        <v>733</v>
      </c>
      <c r="BL299" s="25" t="s">
        <v>733</v>
      </c>
      <c r="BM299" s="24" t="s">
        <v>733</v>
      </c>
      <c r="BN299" s="24" t="s">
        <v>732</v>
      </c>
      <c r="BO299" s="24" t="s">
        <v>733</v>
      </c>
      <c r="BP299" s="24" t="s">
        <v>733</v>
      </c>
      <c r="BQ299" s="24" t="s">
        <v>945</v>
      </c>
      <c r="BR299" s="24" t="s">
        <v>945</v>
      </c>
      <c r="BS299" s="25" t="s">
        <v>934</v>
      </c>
      <c r="BT299" s="24" t="s">
        <v>934</v>
      </c>
      <c r="BU299" s="24" t="s">
        <v>934</v>
      </c>
      <c r="BV299" s="24" t="s">
        <v>934</v>
      </c>
      <c r="BW299" s="24" t="s">
        <v>934</v>
      </c>
      <c r="BX299" s="24" t="s">
        <v>934</v>
      </c>
      <c r="BY299" s="25" t="s">
        <v>945</v>
      </c>
      <c r="BZ299" t="s">
        <v>788</v>
      </c>
      <c r="CB299" t="s">
        <v>327</v>
      </c>
      <c r="CC299" s="4">
        <f>SUM(44518*0.073,24379*0.1,65904*0.1)</f>
        <v>12278.114000000001</v>
      </c>
      <c r="CD299" s="4"/>
      <c r="CE299" s="4"/>
      <c r="CF299" t="s">
        <v>793</v>
      </c>
      <c r="CG299">
        <v>100</v>
      </c>
      <c r="CH299" t="s">
        <v>805</v>
      </c>
      <c r="CI299" s="1">
        <v>1</v>
      </c>
      <c r="CJ299" s="10" t="s">
        <v>1445</v>
      </c>
      <c r="CK299" s="9" t="s">
        <v>1</v>
      </c>
      <c r="CL299" s="4" t="s">
        <v>1</v>
      </c>
      <c r="CM299" t="s">
        <v>847</v>
      </c>
      <c r="CN299" s="34">
        <f>AVERAGE(146.6,151.5)</f>
        <v>149.05000000000001</v>
      </c>
      <c r="CO299" s="4" t="s">
        <v>1</v>
      </c>
      <c r="CP299" s="4" t="s">
        <v>1</v>
      </c>
      <c r="CQ299" s="4" t="s">
        <v>1</v>
      </c>
      <c r="CR299" s="4" t="s">
        <v>1</v>
      </c>
      <c r="CS299" s="4" t="s">
        <v>1</v>
      </c>
      <c r="CT299" s="4" t="s">
        <v>1</v>
      </c>
      <c r="CU299" s="4" t="s">
        <v>1</v>
      </c>
      <c r="CV299" t="s">
        <v>1068</v>
      </c>
      <c r="CW299">
        <v>100</v>
      </c>
      <c r="CX299">
        <v>0</v>
      </c>
      <c r="CY299">
        <v>20</v>
      </c>
      <c r="CZ299" s="26" t="s">
        <v>1358</v>
      </c>
      <c r="DA299" t="s">
        <v>734</v>
      </c>
      <c r="DB299">
        <v>8.3000000000000007</v>
      </c>
      <c r="DC299">
        <v>0</v>
      </c>
      <c r="DD299">
        <v>20</v>
      </c>
      <c r="DE299" s="26" t="s">
        <v>1358</v>
      </c>
      <c r="DF299" t="s">
        <v>735</v>
      </c>
      <c r="DG299">
        <v>76.400000000000006</v>
      </c>
      <c r="DH299">
        <v>0</v>
      </c>
      <c r="DI299">
        <v>20</v>
      </c>
      <c r="DJ299" s="26" t="s">
        <v>1358</v>
      </c>
      <c r="DK299" t="s">
        <v>736</v>
      </c>
      <c r="DL299">
        <v>15.3</v>
      </c>
      <c r="DM299">
        <v>0</v>
      </c>
      <c r="DN299">
        <v>20</v>
      </c>
      <c r="DO299" s="26" t="s">
        <v>1358</v>
      </c>
      <c r="DP299" t="s">
        <v>6</v>
      </c>
      <c r="DQ299" t="s">
        <v>813</v>
      </c>
      <c r="DR299">
        <v>5.6</v>
      </c>
      <c r="DS299">
        <v>0</v>
      </c>
      <c r="DT299">
        <v>20</v>
      </c>
      <c r="DU299" s="26" t="s">
        <v>1358</v>
      </c>
      <c r="EA299" t="s">
        <v>982</v>
      </c>
      <c r="EB299">
        <v>14.399999999999999</v>
      </c>
      <c r="EC299">
        <v>0</v>
      </c>
      <c r="ED299">
        <v>20</v>
      </c>
      <c r="EE299" s="26" t="s">
        <v>1358</v>
      </c>
      <c r="EF299" s="26"/>
      <c r="FZ299" t="s">
        <v>806</v>
      </c>
      <c r="GA299">
        <v>648</v>
      </c>
      <c r="GE299" s="26" t="s">
        <v>1358</v>
      </c>
      <c r="HA299" s="5" t="s">
        <v>1</v>
      </c>
      <c r="HB299" s="4" t="s">
        <v>1</v>
      </c>
      <c r="HC299" t="s">
        <v>1</v>
      </c>
      <c r="HD299" t="s">
        <v>1</v>
      </c>
      <c r="HE299" t="s">
        <v>1</v>
      </c>
      <c r="HF299" s="5" t="s">
        <v>1063</v>
      </c>
      <c r="HG299" s="4">
        <v>1.04</v>
      </c>
      <c r="HH299">
        <v>0</v>
      </c>
      <c r="HI299">
        <v>20</v>
      </c>
      <c r="HJ299" s="26" t="s">
        <v>1358</v>
      </c>
      <c r="HK299" t="s">
        <v>815</v>
      </c>
      <c r="HL299">
        <v>1.44</v>
      </c>
      <c r="HM299">
        <v>0</v>
      </c>
      <c r="HN299">
        <v>20</v>
      </c>
      <c r="HO299" t="s">
        <v>1</v>
      </c>
      <c r="HP299" s="26" t="s">
        <v>1358</v>
      </c>
      <c r="HZ299" t="s">
        <v>969</v>
      </c>
      <c r="IA299">
        <v>348</v>
      </c>
      <c r="IB299" s="10" t="s">
        <v>1</v>
      </c>
      <c r="IC299" s="10"/>
      <c r="ID299" s="10"/>
      <c r="IE299" s="10" t="s">
        <v>1</v>
      </c>
      <c r="IF299" s="10" t="s">
        <v>1</v>
      </c>
      <c r="IG299" s="10"/>
      <c r="IH299" s="10"/>
      <c r="II299" s="10"/>
      <c r="IJ299" s="10"/>
      <c r="IK299" s="10"/>
      <c r="IL299" s="10"/>
      <c r="IM299" s="10"/>
      <c r="IN299" s="10"/>
      <c r="IO299" s="10"/>
      <c r="IP299" s="10"/>
      <c r="IQ299" s="10"/>
      <c r="IR299" s="10"/>
      <c r="IS299" t="s">
        <v>978</v>
      </c>
      <c r="IT299">
        <v>234</v>
      </c>
      <c r="IW299" t="s">
        <v>1</v>
      </c>
      <c r="IX299" t="s">
        <v>1</v>
      </c>
      <c r="IY299" t="s">
        <v>808</v>
      </c>
      <c r="IZ299">
        <v>2693</v>
      </c>
      <c r="JA299" t="s">
        <v>1</v>
      </c>
      <c r="JB299" s="3" t="s">
        <v>1</v>
      </c>
      <c r="JC299" t="s">
        <v>1</v>
      </c>
      <c r="JD299" s="4" t="s">
        <v>1</v>
      </c>
      <c r="JE299" t="s">
        <v>1</v>
      </c>
      <c r="JF299" t="s">
        <v>1</v>
      </c>
      <c r="JR299" t="s">
        <v>1066</v>
      </c>
      <c r="JS299">
        <v>137.19999999999999</v>
      </c>
      <c r="JU299" t="s">
        <v>1</v>
      </c>
      <c r="JW299" t="s">
        <v>1</v>
      </c>
      <c r="JX299">
        <v>0</v>
      </c>
      <c r="JY299">
        <v>50</v>
      </c>
      <c r="JZ299" t="s">
        <v>796</v>
      </c>
      <c r="KA299" t="s">
        <v>198</v>
      </c>
      <c r="KB299" t="s">
        <v>738</v>
      </c>
      <c r="KC299" t="s">
        <v>1</v>
      </c>
      <c r="KD299" t="s">
        <v>1</v>
      </c>
      <c r="KE299" s="1" t="s">
        <v>1</v>
      </c>
      <c r="KF299" t="s">
        <v>1</v>
      </c>
      <c r="KG299" t="s">
        <v>1</v>
      </c>
      <c r="KH299" t="s">
        <v>1</v>
      </c>
      <c r="KI299" t="s">
        <v>1</v>
      </c>
      <c r="KJ299" t="s">
        <v>1</v>
      </c>
      <c r="KK299" t="s">
        <v>1</v>
      </c>
    </row>
    <row r="300" spans="1:297" x14ac:dyDescent="0.2">
      <c r="A300">
        <v>268</v>
      </c>
      <c r="B300" t="s">
        <v>705</v>
      </c>
      <c r="C300" t="s">
        <v>329</v>
      </c>
      <c r="D300" t="s">
        <v>324</v>
      </c>
      <c r="E300">
        <v>47</v>
      </c>
      <c r="F300" t="s">
        <v>325</v>
      </c>
      <c r="G300" t="s">
        <v>1</v>
      </c>
      <c r="H300" s="26" t="s">
        <v>1420</v>
      </c>
      <c r="I300" t="s">
        <v>1</v>
      </c>
      <c r="J300" t="s">
        <v>1</v>
      </c>
      <c r="K300" t="s">
        <v>1</v>
      </c>
      <c r="L300" t="s">
        <v>1</v>
      </c>
      <c r="M300" t="s">
        <v>1</v>
      </c>
      <c r="N300" t="s">
        <v>1</v>
      </c>
      <c r="O300" t="s">
        <v>1</v>
      </c>
      <c r="P300" t="s">
        <v>1</v>
      </c>
      <c r="Q300" t="s">
        <v>1</v>
      </c>
      <c r="R300" t="s">
        <v>1</v>
      </c>
      <c r="S300" t="s">
        <v>1</v>
      </c>
      <c r="T300" t="s">
        <v>1</v>
      </c>
      <c r="U300" t="s">
        <v>1</v>
      </c>
      <c r="V300" t="s">
        <v>1</v>
      </c>
      <c r="W300" t="s">
        <v>1</v>
      </c>
      <c r="X300" t="s">
        <v>1</v>
      </c>
      <c r="Y300" t="s">
        <v>1</v>
      </c>
      <c r="Z300" t="s">
        <v>1</v>
      </c>
      <c r="AA300" t="s">
        <v>1</v>
      </c>
      <c r="AB300" t="s">
        <v>1</v>
      </c>
      <c r="AC300" t="s">
        <v>1</v>
      </c>
      <c r="AD300" t="s">
        <v>1</v>
      </c>
      <c r="AE300" t="s">
        <v>1</v>
      </c>
      <c r="AF300" t="s">
        <v>1</v>
      </c>
      <c r="AG300" t="s">
        <v>1</v>
      </c>
      <c r="AH300" t="s">
        <v>1</v>
      </c>
      <c r="AI300" t="s">
        <v>1</v>
      </c>
      <c r="AJ300" t="s">
        <v>1</v>
      </c>
      <c r="AK300" t="s">
        <v>1</v>
      </c>
      <c r="AL300" t="s">
        <v>1</v>
      </c>
      <c r="AM300" t="s">
        <v>1</v>
      </c>
      <c r="AN300">
        <v>268</v>
      </c>
      <c r="AO300">
        <f t="shared" si="36"/>
        <v>268</v>
      </c>
      <c r="AP300">
        <f t="shared" si="40"/>
        <v>47</v>
      </c>
      <c r="AQ300">
        <f t="shared" si="41"/>
        <v>47</v>
      </c>
      <c r="AR300" s="26" t="s">
        <v>1355</v>
      </c>
      <c r="AS300" s="26" t="s">
        <v>1356</v>
      </c>
      <c r="AT300" t="s">
        <v>710</v>
      </c>
      <c r="AU300" t="s">
        <v>1</v>
      </c>
      <c r="AV300" t="s">
        <v>1</v>
      </c>
      <c r="AW300">
        <v>31.23</v>
      </c>
      <c r="AX300">
        <v>119.88</v>
      </c>
      <c r="AY300" t="s">
        <v>737</v>
      </c>
      <c r="BA300" s="3">
        <v>4</v>
      </c>
      <c r="BB300" s="3"/>
      <c r="BC300" s="3"/>
      <c r="BD300" s="3"/>
      <c r="BE300" s="3"/>
      <c r="BF300">
        <v>2009</v>
      </c>
      <c r="BG300" s="24" t="s">
        <v>733</v>
      </c>
      <c r="BH300" s="24" t="s">
        <v>733</v>
      </c>
      <c r="BI300" s="24" t="s">
        <v>733</v>
      </c>
      <c r="BJ300" s="24" t="s">
        <v>732</v>
      </c>
      <c r="BK300" s="24" t="s">
        <v>733</v>
      </c>
      <c r="BL300" s="25" t="s">
        <v>733</v>
      </c>
      <c r="BM300" s="24" t="s">
        <v>733</v>
      </c>
      <c r="BN300" s="24" t="s">
        <v>732</v>
      </c>
      <c r="BO300" s="24" t="s">
        <v>733</v>
      </c>
      <c r="BP300" s="24" t="s">
        <v>733</v>
      </c>
      <c r="BQ300" s="24" t="s">
        <v>945</v>
      </c>
      <c r="BR300" s="24" t="s">
        <v>945</v>
      </c>
      <c r="BS300" s="25" t="s">
        <v>934</v>
      </c>
      <c r="BT300" s="24" t="s">
        <v>934</v>
      </c>
      <c r="BU300" s="24" t="s">
        <v>934</v>
      </c>
      <c r="BV300" s="24" t="s">
        <v>934</v>
      </c>
      <c r="BW300" s="24" t="s">
        <v>934</v>
      </c>
      <c r="BX300" s="24" t="s">
        <v>934</v>
      </c>
      <c r="BY300" s="25" t="s">
        <v>945</v>
      </c>
      <c r="BZ300" t="s">
        <v>788</v>
      </c>
      <c r="CB300" t="s">
        <v>327</v>
      </c>
      <c r="CC300" s="4">
        <f>SUM(65476*0.073,33397*0.1,78573*0.1)</f>
        <v>15976.748</v>
      </c>
      <c r="CD300" s="4"/>
      <c r="CE300" s="4"/>
      <c r="CF300" t="s">
        <v>793</v>
      </c>
      <c r="CG300">
        <v>100</v>
      </c>
      <c r="CH300" t="s">
        <v>805</v>
      </c>
      <c r="CI300" s="1">
        <v>1</v>
      </c>
      <c r="CJ300" s="10" t="s">
        <v>1445</v>
      </c>
      <c r="CK300" s="9" t="s">
        <v>1</v>
      </c>
      <c r="CL300" s="4" t="s">
        <v>1</v>
      </c>
      <c r="CM300" t="s">
        <v>847</v>
      </c>
      <c r="CN300" s="34">
        <f>AVERAGE(213.2,215.6)</f>
        <v>214.39999999999998</v>
      </c>
      <c r="CO300" s="4" t="s">
        <v>1</v>
      </c>
      <c r="CP300" s="4" t="s">
        <v>1</v>
      </c>
      <c r="CQ300" s="4" t="s">
        <v>1</v>
      </c>
      <c r="CR300" s="4" t="s">
        <v>1</v>
      </c>
      <c r="CS300" s="4" t="s">
        <v>1</v>
      </c>
      <c r="CT300" s="4" t="s">
        <v>1</v>
      </c>
      <c r="CU300" s="4" t="s">
        <v>1</v>
      </c>
      <c r="CV300" t="s">
        <v>1068</v>
      </c>
      <c r="CW300">
        <v>100</v>
      </c>
      <c r="CX300">
        <v>0</v>
      </c>
      <c r="CY300">
        <v>20</v>
      </c>
      <c r="CZ300" s="26" t="s">
        <v>1358</v>
      </c>
      <c r="DA300" t="s">
        <v>734</v>
      </c>
      <c r="DB300">
        <v>8.3000000000000007</v>
      </c>
      <c r="DC300">
        <v>0</v>
      </c>
      <c r="DD300">
        <v>20</v>
      </c>
      <c r="DE300" s="26" t="s">
        <v>1358</v>
      </c>
      <c r="DF300" t="s">
        <v>735</v>
      </c>
      <c r="DG300">
        <v>76.400000000000006</v>
      </c>
      <c r="DH300">
        <v>0</v>
      </c>
      <c r="DI300">
        <v>20</v>
      </c>
      <c r="DJ300" s="26" t="s">
        <v>1358</v>
      </c>
      <c r="DK300" t="s">
        <v>736</v>
      </c>
      <c r="DL300">
        <v>15.3</v>
      </c>
      <c r="DM300">
        <v>0</v>
      </c>
      <c r="DN300">
        <v>20</v>
      </c>
      <c r="DO300" s="26" t="s">
        <v>1358</v>
      </c>
      <c r="DP300" t="s">
        <v>6</v>
      </c>
      <c r="DQ300" t="s">
        <v>813</v>
      </c>
      <c r="DR300">
        <v>5.6</v>
      </c>
      <c r="DS300">
        <v>0</v>
      </c>
      <c r="DT300">
        <v>20</v>
      </c>
      <c r="DU300" s="26" t="s">
        <v>1358</v>
      </c>
      <c r="EA300" t="s">
        <v>982</v>
      </c>
      <c r="EB300">
        <v>14.399999999999999</v>
      </c>
      <c r="EC300">
        <v>0</v>
      </c>
      <c r="ED300">
        <v>20</v>
      </c>
      <c r="EE300" s="26" t="s">
        <v>1358</v>
      </c>
      <c r="EF300" s="26"/>
      <c r="FZ300" t="s">
        <v>806</v>
      </c>
      <c r="GA300">
        <v>648</v>
      </c>
      <c r="GE300" s="26" t="s">
        <v>1358</v>
      </c>
      <c r="HA300" s="5" t="s">
        <v>1</v>
      </c>
      <c r="HB300" s="4" t="s">
        <v>1</v>
      </c>
      <c r="HC300" t="s">
        <v>1</v>
      </c>
      <c r="HD300" t="s">
        <v>1</v>
      </c>
      <c r="HE300" t="s">
        <v>1</v>
      </c>
      <c r="HF300" s="5" t="s">
        <v>1063</v>
      </c>
      <c r="HG300" s="4">
        <v>1.04</v>
      </c>
      <c r="HH300">
        <v>0</v>
      </c>
      <c r="HI300">
        <v>20</v>
      </c>
      <c r="HJ300" s="26" t="s">
        <v>1358</v>
      </c>
      <c r="HK300" t="s">
        <v>815</v>
      </c>
      <c r="HL300">
        <v>1.44</v>
      </c>
      <c r="HM300">
        <v>0</v>
      </c>
      <c r="HN300">
        <v>20</v>
      </c>
      <c r="HO300" t="s">
        <v>1</v>
      </c>
      <c r="HP300" s="26" t="s">
        <v>1358</v>
      </c>
      <c r="HZ300" t="s">
        <v>969</v>
      </c>
      <c r="IA300">
        <v>522</v>
      </c>
      <c r="IB300" s="10" t="s">
        <v>1</v>
      </c>
      <c r="IC300" s="10"/>
      <c r="ID300" s="10"/>
      <c r="IE300" s="10" t="s">
        <v>1</v>
      </c>
      <c r="IF300" s="10" t="s">
        <v>1</v>
      </c>
      <c r="IG300" s="10"/>
      <c r="IH300" s="10"/>
      <c r="II300" s="10"/>
      <c r="IJ300" s="10"/>
      <c r="IK300" s="10"/>
      <c r="IL300" s="10"/>
      <c r="IM300" s="10"/>
      <c r="IN300" s="10"/>
      <c r="IO300" s="10"/>
      <c r="IP300" s="10"/>
      <c r="IQ300" s="10"/>
      <c r="IR300" s="10"/>
      <c r="IS300" t="s">
        <v>978</v>
      </c>
      <c r="IT300">
        <v>234</v>
      </c>
      <c r="IW300" t="s">
        <v>1</v>
      </c>
      <c r="IX300" t="s">
        <v>1</v>
      </c>
      <c r="IY300" t="s">
        <v>808</v>
      </c>
      <c r="IZ300">
        <v>2693</v>
      </c>
      <c r="JA300" t="s">
        <v>1</v>
      </c>
      <c r="JB300" s="3" t="s">
        <v>1</v>
      </c>
      <c r="JC300" t="s">
        <v>1</v>
      </c>
      <c r="JD300" s="4" t="s">
        <v>1</v>
      </c>
      <c r="JE300" t="s">
        <v>1</v>
      </c>
      <c r="JF300" t="s">
        <v>1</v>
      </c>
      <c r="JR300" t="s">
        <v>1066</v>
      </c>
      <c r="JS300">
        <v>190.3</v>
      </c>
      <c r="JU300" t="s">
        <v>1</v>
      </c>
      <c r="JW300" t="s">
        <v>1</v>
      </c>
      <c r="JX300">
        <v>0</v>
      </c>
      <c r="JY300">
        <v>50</v>
      </c>
      <c r="JZ300" t="s">
        <v>796</v>
      </c>
      <c r="KA300" t="s">
        <v>198</v>
      </c>
      <c r="KB300" t="s">
        <v>738</v>
      </c>
      <c r="KC300" t="s">
        <v>1</v>
      </c>
      <c r="KD300" t="s">
        <v>1</v>
      </c>
      <c r="KE300" s="1" t="s">
        <v>1</v>
      </c>
      <c r="KF300" t="s">
        <v>1</v>
      </c>
      <c r="KG300" t="s">
        <v>1</v>
      </c>
      <c r="KH300" t="s">
        <v>1</v>
      </c>
      <c r="KI300" t="s">
        <v>1</v>
      </c>
      <c r="KJ300" t="s">
        <v>1</v>
      </c>
      <c r="KK300" t="s">
        <v>1</v>
      </c>
    </row>
    <row r="301" spans="1:297" x14ac:dyDescent="0.2">
      <c r="A301">
        <v>269</v>
      </c>
      <c r="B301" t="s">
        <v>705</v>
      </c>
      <c r="C301" t="s">
        <v>330</v>
      </c>
      <c r="D301" t="s">
        <v>324</v>
      </c>
      <c r="E301">
        <v>47</v>
      </c>
      <c r="F301" t="s">
        <v>325</v>
      </c>
      <c r="G301" t="s">
        <v>1</v>
      </c>
      <c r="H301" s="26" t="s">
        <v>1420</v>
      </c>
      <c r="I301" t="s">
        <v>1</v>
      </c>
      <c r="J301" t="s">
        <v>1</v>
      </c>
      <c r="K301" t="s">
        <v>1</v>
      </c>
      <c r="L301" t="s">
        <v>1</v>
      </c>
      <c r="M301" t="s">
        <v>1</v>
      </c>
      <c r="N301" t="s">
        <v>1</v>
      </c>
      <c r="O301" t="s">
        <v>1</v>
      </c>
      <c r="P301" t="s">
        <v>1</v>
      </c>
      <c r="Q301" t="s">
        <v>1</v>
      </c>
      <c r="R301" t="s">
        <v>1</v>
      </c>
      <c r="S301" t="s">
        <v>1</v>
      </c>
      <c r="T301" t="s">
        <v>1</v>
      </c>
      <c r="U301" t="s">
        <v>1</v>
      </c>
      <c r="V301" t="s">
        <v>1</v>
      </c>
      <c r="W301" t="s">
        <v>1</v>
      </c>
      <c r="X301" t="s">
        <v>1</v>
      </c>
      <c r="Y301" t="s">
        <v>1</v>
      </c>
      <c r="Z301" t="s">
        <v>1</v>
      </c>
      <c r="AA301" t="s">
        <v>1</v>
      </c>
      <c r="AB301" t="s">
        <v>1</v>
      </c>
      <c r="AC301" t="s">
        <v>1</v>
      </c>
      <c r="AD301" t="s">
        <v>1</v>
      </c>
      <c r="AE301" t="s">
        <v>1</v>
      </c>
      <c r="AF301" t="s">
        <v>1</v>
      </c>
      <c r="AG301" t="s">
        <v>1</v>
      </c>
      <c r="AH301" t="s">
        <v>1</v>
      </c>
      <c r="AI301" t="s">
        <v>1</v>
      </c>
      <c r="AJ301" t="s">
        <v>1</v>
      </c>
      <c r="AK301" t="s">
        <v>1</v>
      </c>
      <c r="AL301" t="s">
        <v>1</v>
      </c>
      <c r="AM301" t="s">
        <v>1</v>
      </c>
      <c r="AN301">
        <v>269</v>
      </c>
      <c r="AO301">
        <f t="shared" si="36"/>
        <v>269</v>
      </c>
      <c r="AP301">
        <f t="shared" si="40"/>
        <v>47</v>
      </c>
      <c r="AQ301">
        <f t="shared" si="41"/>
        <v>47</v>
      </c>
      <c r="AR301" s="26" t="s">
        <v>1355</v>
      </c>
      <c r="AS301" s="26" t="s">
        <v>1356</v>
      </c>
      <c r="AT301" t="s">
        <v>710</v>
      </c>
      <c r="AU301" t="s">
        <v>1</v>
      </c>
      <c r="AV301" t="s">
        <v>1</v>
      </c>
      <c r="AW301">
        <v>31.23</v>
      </c>
      <c r="AX301">
        <v>119.88</v>
      </c>
      <c r="AY301" t="s">
        <v>737</v>
      </c>
      <c r="BA301" s="3">
        <v>4</v>
      </c>
      <c r="BB301" s="3"/>
      <c r="BC301" s="3"/>
      <c r="BD301" s="3"/>
      <c r="BE301" s="3"/>
      <c r="BF301">
        <v>2009</v>
      </c>
      <c r="BG301" s="24" t="s">
        <v>733</v>
      </c>
      <c r="BH301" s="24" t="s">
        <v>733</v>
      </c>
      <c r="BI301" s="24" t="s">
        <v>733</v>
      </c>
      <c r="BJ301" s="24" t="s">
        <v>732</v>
      </c>
      <c r="BK301" s="24" t="s">
        <v>733</v>
      </c>
      <c r="BL301" s="25" t="s">
        <v>733</v>
      </c>
      <c r="BM301" s="24" t="s">
        <v>733</v>
      </c>
      <c r="BN301" s="24" t="s">
        <v>732</v>
      </c>
      <c r="BO301" s="24" t="s">
        <v>733</v>
      </c>
      <c r="BP301" s="24" t="s">
        <v>733</v>
      </c>
      <c r="BQ301" s="24" t="s">
        <v>945</v>
      </c>
      <c r="BR301" s="24" t="s">
        <v>945</v>
      </c>
      <c r="BS301" s="25" t="s">
        <v>934</v>
      </c>
      <c r="BT301" s="24" t="s">
        <v>934</v>
      </c>
      <c r="BU301" s="24" t="s">
        <v>934</v>
      </c>
      <c r="BV301" s="24" t="s">
        <v>934</v>
      </c>
      <c r="BW301" s="24" t="s">
        <v>934</v>
      </c>
      <c r="BX301" s="24" t="s">
        <v>934</v>
      </c>
      <c r="BY301" s="25" t="s">
        <v>945</v>
      </c>
      <c r="BZ301" t="s">
        <v>788</v>
      </c>
      <c r="CB301" t="s">
        <v>327</v>
      </c>
      <c r="CC301" s="4">
        <f>SUM(78287*0.073,33406*0.1,84895*0.1)</f>
        <v>17545.050999999999</v>
      </c>
      <c r="CD301" s="4"/>
      <c r="CE301" s="4"/>
      <c r="CF301" t="s">
        <v>793</v>
      </c>
      <c r="CG301">
        <v>100</v>
      </c>
      <c r="CH301" t="s">
        <v>805</v>
      </c>
      <c r="CI301" s="1">
        <v>1</v>
      </c>
      <c r="CJ301" s="10" t="s">
        <v>1445</v>
      </c>
      <c r="CK301" s="9" t="s">
        <v>1</v>
      </c>
      <c r="CL301" s="4" t="s">
        <v>1</v>
      </c>
      <c r="CM301" t="s">
        <v>847</v>
      </c>
      <c r="CN301" s="34">
        <f>AVERAGE(233.6,232.4)</f>
        <v>233</v>
      </c>
      <c r="CO301" s="4" t="s">
        <v>1</v>
      </c>
      <c r="CP301" s="4" t="s">
        <v>1</v>
      </c>
      <c r="CQ301" s="4" t="s">
        <v>1</v>
      </c>
      <c r="CR301" s="4" t="s">
        <v>1</v>
      </c>
      <c r="CS301" s="4" t="s">
        <v>1</v>
      </c>
      <c r="CT301" s="4" t="s">
        <v>1</v>
      </c>
      <c r="CU301" s="4" t="s">
        <v>1</v>
      </c>
      <c r="CV301" t="s">
        <v>1068</v>
      </c>
      <c r="CW301">
        <v>100</v>
      </c>
      <c r="CX301">
        <v>0</v>
      </c>
      <c r="CY301">
        <v>20</v>
      </c>
      <c r="CZ301" s="26" t="s">
        <v>1358</v>
      </c>
      <c r="DA301" t="s">
        <v>734</v>
      </c>
      <c r="DB301">
        <v>8.3000000000000007</v>
      </c>
      <c r="DC301">
        <v>0</v>
      </c>
      <c r="DD301">
        <v>20</v>
      </c>
      <c r="DE301" s="26" t="s">
        <v>1358</v>
      </c>
      <c r="DF301" t="s">
        <v>735</v>
      </c>
      <c r="DG301">
        <v>76.400000000000006</v>
      </c>
      <c r="DH301">
        <v>0</v>
      </c>
      <c r="DI301">
        <v>20</v>
      </c>
      <c r="DJ301" s="26" t="s">
        <v>1358</v>
      </c>
      <c r="DK301" t="s">
        <v>736</v>
      </c>
      <c r="DL301">
        <v>15.3</v>
      </c>
      <c r="DM301">
        <v>0</v>
      </c>
      <c r="DN301">
        <v>20</v>
      </c>
      <c r="DO301" s="26" t="s">
        <v>1358</v>
      </c>
      <c r="DP301" t="s">
        <v>6</v>
      </c>
      <c r="DQ301" t="s">
        <v>813</v>
      </c>
      <c r="DR301">
        <v>5.6</v>
      </c>
      <c r="DS301">
        <v>0</v>
      </c>
      <c r="DT301">
        <v>20</v>
      </c>
      <c r="DU301" s="26" t="s">
        <v>1358</v>
      </c>
      <c r="EA301" t="s">
        <v>982</v>
      </c>
      <c r="EB301">
        <v>14.399999999999999</v>
      </c>
      <c r="EC301">
        <v>0</v>
      </c>
      <c r="ED301">
        <v>20</v>
      </c>
      <c r="EE301" s="26" t="s">
        <v>1358</v>
      </c>
      <c r="EF301" s="26"/>
      <c r="FZ301" t="s">
        <v>806</v>
      </c>
      <c r="GA301">
        <v>648</v>
      </c>
      <c r="GE301" s="26" t="s">
        <v>1358</v>
      </c>
      <c r="HA301" s="5" t="s">
        <v>1</v>
      </c>
      <c r="HB301" s="4" t="s">
        <v>1</v>
      </c>
      <c r="HC301" t="s">
        <v>1</v>
      </c>
      <c r="HD301" t="s">
        <v>1</v>
      </c>
      <c r="HE301" t="s">
        <v>1</v>
      </c>
      <c r="HF301" s="5" t="s">
        <v>1063</v>
      </c>
      <c r="HG301" s="4">
        <v>1.04</v>
      </c>
      <c r="HH301">
        <v>0</v>
      </c>
      <c r="HI301">
        <v>20</v>
      </c>
      <c r="HJ301" s="26" t="s">
        <v>1358</v>
      </c>
      <c r="HK301" t="s">
        <v>815</v>
      </c>
      <c r="HL301">
        <v>1.44</v>
      </c>
      <c r="HM301">
        <v>0</v>
      </c>
      <c r="HN301">
        <v>20</v>
      </c>
      <c r="HO301" t="s">
        <v>1</v>
      </c>
      <c r="HP301" s="26" t="s">
        <v>1358</v>
      </c>
      <c r="HZ301" t="s">
        <v>969</v>
      </c>
      <c r="IA301">
        <v>696</v>
      </c>
      <c r="IB301" s="10" t="s">
        <v>1</v>
      </c>
      <c r="IC301" s="10"/>
      <c r="ID301" s="10"/>
      <c r="IE301" s="10" t="s">
        <v>1</v>
      </c>
      <c r="IF301" s="10" t="s">
        <v>1</v>
      </c>
      <c r="IG301" s="10"/>
      <c r="IH301" s="10"/>
      <c r="II301" s="10"/>
      <c r="IJ301" s="10"/>
      <c r="IK301" s="10"/>
      <c r="IL301" s="10"/>
      <c r="IM301" s="10"/>
      <c r="IN301" s="10"/>
      <c r="IO301" s="10"/>
      <c r="IP301" s="10"/>
      <c r="IQ301" s="10"/>
      <c r="IR301" s="10"/>
      <c r="IS301" t="s">
        <v>978</v>
      </c>
      <c r="IT301">
        <v>234</v>
      </c>
      <c r="IW301" t="s">
        <v>1</v>
      </c>
      <c r="IX301" t="s">
        <v>1</v>
      </c>
      <c r="IY301" t="s">
        <v>808</v>
      </c>
      <c r="IZ301">
        <v>2693</v>
      </c>
      <c r="JA301" t="s">
        <v>1</v>
      </c>
      <c r="JB301" s="3" t="s">
        <v>1</v>
      </c>
      <c r="JC301" t="s">
        <v>1</v>
      </c>
      <c r="JD301" s="4" t="s">
        <v>1</v>
      </c>
      <c r="JE301" t="s">
        <v>1</v>
      </c>
      <c r="JF301" t="s">
        <v>1</v>
      </c>
      <c r="JR301" t="s">
        <v>1066</v>
      </c>
      <c r="JS301">
        <v>405</v>
      </c>
      <c r="JU301" t="s">
        <v>1</v>
      </c>
      <c r="JW301" t="s">
        <v>1</v>
      </c>
      <c r="JX301">
        <v>0</v>
      </c>
      <c r="JY301">
        <v>50</v>
      </c>
      <c r="JZ301" t="s">
        <v>796</v>
      </c>
      <c r="KA301" t="s">
        <v>198</v>
      </c>
      <c r="KB301" t="s">
        <v>738</v>
      </c>
      <c r="KC301" t="s">
        <v>1</v>
      </c>
      <c r="KD301" t="s">
        <v>1</v>
      </c>
      <c r="KE301" s="1" t="s">
        <v>1</v>
      </c>
      <c r="KF301" t="s">
        <v>1</v>
      </c>
      <c r="KG301" t="s">
        <v>1</v>
      </c>
      <c r="KH301" t="s">
        <v>1</v>
      </c>
      <c r="KI301" t="s">
        <v>1</v>
      </c>
      <c r="KJ301" t="s">
        <v>1</v>
      </c>
      <c r="KK301" t="s">
        <v>1</v>
      </c>
    </row>
    <row r="302" spans="1:297" x14ac:dyDescent="0.2">
      <c r="A302">
        <v>270</v>
      </c>
      <c r="B302" t="s">
        <v>705</v>
      </c>
      <c r="C302" t="s">
        <v>331</v>
      </c>
      <c r="D302" t="s">
        <v>324</v>
      </c>
      <c r="E302">
        <v>47</v>
      </c>
      <c r="F302" t="s">
        <v>325</v>
      </c>
      <c r="G302" t="s">
        <v>1</v>
      </c>
      <c r="H302" s="26" t="s">
        <v>1420</v>
      </c>
      <c r="I302" t="s">
        <v>1</v>
      </c>
      <c r="J302" t="s">
        <v>1</v>
      </c>
      <c r="K302" t="s">
        <v>1</v>
      </c>
      <c r="L302" t="s">
        <v>1</v>
      </c>
      <c r="M302" t="s">
        <v>1</v>
      </c>
      <c r="N302" t="s">
        <v>1</v>
      </c>
      <c r="O302" t="s">
        <v>1</v>
      </c>
      <c r="P302" t="s">
        <v>1</v>
      </c>
      <c r="Q302" t="s">
        <v>1</v>
      </c>
      <c r="R302" t="s">
        <v>1</v>
      </c>
      <c r="S302" t="s">
        <v>1</v>
      </c>
      <c r="T302" t="s">
        <v>1</v>
      </c>
      <c r="U302" t="s">
        <v>1</v>
      </c>
      <c r="V302" t="s">
        <v>1</v>
      </c>
      <c r="W302" t="s">
        <v>1</v>
      </c>
      <c r="X302" t="s">
        <v>1</v>
      </c>
      <c r="Y302" t="s">
        <v>1</v>
      </c>
      <c r="Z302" t="s">
        <v>1</v>
      </c>
      <c r="AA302" t="s">
        <v>1</v>
      </c>
      <c r="AB302" t="s">
        <v>1</v>
      </c>
      <c r="AC302" t="s">
        <v>1</v>
      </c>
      <c r="AD302" t="s">
        <v>1</v>
      </c>
      <c r="AE302" t="s">
        <v>1</v>
      </c>
      <c r="AF302" t="s">
        <v>1</v>
      </c>
      <c r="AG302" t="s">
        <v>1</v>
      </c>
      <c r="AH302" t="s">
        <v>1</v>
      </c>
      <c r="AI302" t="s">
        <v>1</v>
      </c>
      <c r="AJ302" t="s">
        <v>1</v>
      </c>
      <c r="AK302" t="s">
        <v>1</v>
      </c>
      <c r="AL302" t="s">
        <v>1</v>
      </c>
      <c r="AM302" t="s">
        <v>1</v>
      </c>
      <c r="AN302">
        <v>270</v>
      </c>
      <c r="AO302">
        <f t="shared" si="36"/>
        <v>270</v>
      </c>
      <c r="AP302">
        <f t="shared" si="40"/>
        <v>47</v>
      </c>
      <c r="AQ302">
        <f t="shared" si="41"/>
        <v>47</v>
      </c>
      <c r="AR302" s="26" t="s">
        <v>1355</v>
      </c>
      <c r="AS302" s="26" t="s">
        <v>1356</v>
      </c>
      <c r="AT302" t="s">
        <v>710</v>
      </c>
      <c r="AU302" t="s">
        <v>1</v>
      </c>
      <c r="AV302" t="s">
        <v>1</v>
      </c>
      <c r="AW302">
        <v>31.23</v>
      </c>
      <c r="AX302">
        <v>119.88</v>
      </c>
      <c r="AY302" t="s">
        <v>737</v>
      </c>
      <c r="BA302" s="3">
        <v>4</v>
      </c>
      <c r="BB302" s="3"/>
      <c r="BC302" s="3"/>
      <c r="BD302" s="3"/>
      <c r="BE302" s="3"/>
      <c r="BF302">
        <v>2009</v>
      </c>
      <c r="BG302" s="24" t="s">
        <v>733</v>
      </c>
      <c r="BH302" s="24" t="s">
        <v>733</v>
      </c>
      <c r="BI302" s="24" t="s">
        <v>733</v>
      </c>
      <c r="BJ302" s="24" t="s">
        <v>732</v>
      </c>
      <c r="BK302" s="24" t="s">
        <v>733</v>
      </c>
      <c r="BL302" s="25" t="s">
        <v>733</v>
      </c>
      <c r="BM302" s="24" t="s">
        <v>733</v>
      </c>
      <c r="BN302" s="24" t="s">
        <v>732</v>
      </c>
      <c r="BO302" s="24" t="s">
        <v>733</v>
      </c>
      <c r="BP302" s="24" t="s">
        <v>733</v>
      </c>
      <c r="BQ302" s="24" t="s">
        <v>945</v>
      </c>
      <c r="BR302" s="24" t="s">
        <v>945</v>
      </c>
      <c r="BS302" s="25" t="s">
        <v>934</v>
      </c>
      <c r="BT302" s="24" t="s">
        <v>934</v>
      </c>
      <c r="BU302" s="24" t="s">
        <v>934</v>
      </c>
      <c r="BV302" s="24" t="s">
        <v>934</v>
      </c>
      <c r="BW302" s="24" t="s">
        <v>934</v>
      </c>
      <c r="BX302" s="24" t="s">
        <v>934</v>
      </c>
      <c r="BY302" s="25" t="s">
        <v>945</v>
      </c>
      <c r="BZ302" t="s">
        <v>788</v>
      </c>
      <c r="CB302" t="s">
        <v>327</v>
      </c>
      <c r="CC302" s="4">
        <f>SUM(69443*0.073,32496*0.1,83066*0.1)</f>
        <v>16625.539000000001</v>
      </c>
      <c r="CD302" s="4"/>
      <c r="CE302" s="4"/>
      <c r="CF302" t="s">
        <v>793</v>
      </c>
      <c r="CG302">
        <v>100</v>
      </c>
      <c r="CH302" t="s">
        <v>805</v>
      </c>
      <c r="CI302" s="1">
        <v>1</v>
      </c>
      <c r="CJ302" s="10" t="s">
        <v>1445</v>
      </c>
      <c r="CK302" s="9" t="s">
        <v>1</v>
      </c>
      <c r="CL302" s="4" t="s">
        <v>1</v>
      </c>
      <c r="CM302" t="s">
        <v>847</v>
      </c>
      <c r="CN302" s="34">
        <f>AVERAGE(220.8,214.8)</f>
        <v>217.8</v>
      </c>
      <c r="CO302" s="4" t="s">
        <v>1</v>
      </c>
      <c r="CP302" s="4" t="s">
        <v>1</v>
      </c>
      <c r="CQ302" s="4" t="s">
        <v>1</v>
      </c>
      <c r="CR302" s="4" t="s">
        <v>1</v>
      </c>
      <c r="CS302" s="4" t="s">
        <v>1</v>
      </c>
      <c r="CT302" s="4" t="s">
        <v>1</v>
      </c>
      <c r="CU302" s="4" t="s">
        <v>1</v>
      </c>
      <c r="CV302" t="s">
        <v>1068</v>
      </c>
      <c r="CW302">
        <v>100</v>
      </c>
      <c r="CX302">
        <v>0</v>
      </c>
      <c r="CY302">
        <v>20</v>
      </c>
      <c r="CZ302" s="26" t="s">
        <v>1358</v>
      </c>
      <c r="DA302" t="s">
        <v>734</v>
      </c>
      <c r="DB302">
        <v>8.3000000000000007</v>
      </c>
      <c r="DC302">
        <v>0</v>
      </c>
      <c r="DD302">
        <v>20</v>
      </c>
      <c r="DE302" s="26" t="s">
        <v>1358</v>
      </c>
      <c r="DF302" t="s">
        <v>735</v>
      </c>
      <c r="DG302">
        <v>76.400000000000006</v>
      </c>
      <c r="DH302">
        <v>0</v>
      </c>
      <c r="DI302">
        <v>20</v>
      </c>
      <c r="DJ302" s="26" t="s">
        <v>1358</v>
      </c>
      <c r="DK302" t="s">
        <v>736</v>
      </c>
      <c r="DL302">
        <v>15.3</v>
      </c>
      <c r="DM302">
        <v>0</v>
      </c>
      <c r="DN302">
        <v>20</v>
      </c>
      <c r="DO302" s="26" t="s">
        <v>1358</v>
      </c>
      <c r="DP302" t="s">
        <v>6</v>
      </c>
      <c r="DQ302" t="s">
        <v>813</v>
      </c>
      <c r="DR302">
        <v>5.6</v>
      </c>
      <c r="DS302">
        <v>0</v>
      </c>
      <c r="DT302">
        <v>20</v>
      </c>
      <c r="DU302" s="26" t="s">
        <v>1358</v>
      </c>
      <c r="EA302" t="s">
        <v>982</v>
      </c>
      <c r="EB302">
        <v>14.399999999999999</v>
      </c>
      <c r="EC302">
        <v>0</v>
      </c>
      <c r="ED302">
        <v>20</v>
      </c>
      <c r="EE302" s="26" t="s">
        <v>1358</v>
      </c>
      <c r="EF302" s="26"/>
      <c r="FZ302" t="s">
        <v>806</v>
      </c>
      <c r="GA302">
        <v>648</v>
      </c>
      <c r="GE302" s="26" t="s">
        <v>1358</v>
      </c>
      <c r="HA302" s="5" t="s">
        <v>1</v>
      </c>
      <c r="HB302" s="4" t="s">
        <v>1</v>
      </c>
      <c r="HC302" t="s">
        <v>1</v>
      </c>
      <c r="HD302" t="s">
        <v>1</v>
      </c>
      <c r="HE302" t="s">
        <v>1</v>
      </c>
      <c r="HF302" s="5" t="s">
        <v>1063</v>
      </c>
      <c r="HG302" s="4">
        <v>1.04</v>
      </c>
      <c r="HH302">
        <v>0</v>
      </c>
      <c r="HI302">
        <v>20</v>
      </c>
      <c r="HJ302" s="26" t="s">
        <v>1358</v>
      </c>
      <c r="HK302" t="s">
        <v>815</v>
      </c>
      <c r="HL302">
        <v>1.44</v>
      </c>
      <c r="HM302">
        <v>0</v>
      </c>
      <c r="HN302">
        <v>20</v>
      </c>
      <c r="HO302" t="s">
        <v>1</v>
      </c>
      <c r="HP302" s="26" t="s">
        <v>1358</v>
      </c>
      <c r="HZ302" t="s">
        <v>969</v>
      </c>
      <c r="IA302">
        <v>870</v>
      </c>
      <c r="IB302" s="10" t="s">
        <v>1</v>
      </c>
      <c r="IC302" s="10"/>
      <c r="ID302" s="10"/>
      <c r="IE302" s="10" t="s">
        <v>1</v>
      </c>
      <c r="IF302" s="10" t="s">
        <v>1</v>
      </c>
      <c r="IG302" s="10"/>
      <c r="IH302" s="10"/>
      <c r="II302" s="10"/>
      <c r="IJ302" s="10"/>
      <c r="IK302" s="10"/>
      <c r="IL302" s="10"/>
      <c r="IM302" s="10"/>
      <c r="IN302" s="10"/>
      <c r="IO302" s="10"/>
      <c r="IP302" s="10"/>
      <c r="IQ302" s="10"/>
      <c r="IR302" s="10"/>
      <c r="IS302" t="s">
        <v>978</v>
      </c>
      <c r="IT302">
        <v>234</v>
      </c>
      <c r="IW302" t="s">
        <v>1</v>
      </c>
      <c r="IX302" t="s">
        <v>1</v>
      </c>
      <c r="IY302" t="s">
        <v>808</v>
      </c>
      <c r="IZ302">
        <v>2693</v>
      </c>
      <c r="JA302" t="s">
        <v>1</v>
      </c>
      <c r="JB302" s="3" t="s">
        <v>1</v>
      </c>
      <c r="JC302" t="s">
        <v>1</v>
      </c>
      <c r="JD302" s="4" t="s">
        <v>1</v>
      </c>
      <c r="JE302" t="s">
        <v>1</v>
      </c>
      <c r="JF302" t="s">
        <v>1</v>
      </c>
      <c r="JR302" t="s">
        <v>1066</v>
      </c>
      <c r="JS302">
        <v>482.5</v>
      </c>
      <c r="JU302" t="s">
        <v>1</v>
      </c>
      <c r="JW302" t="s">
        <v>1</v>
      </c>
      <c r="JX302">
        <v>0</v>
      </c>
      <c r="JY302">
        <v>50</v>
      </c>
      <c r="JZ302" t="s">
        <v>796</v>
      </c>
      <c r="KA302" t="s">
        <v>198</v>
      </c>
      <c r="KB302" t="s">
        <v>738</v>
      </c>
      <c r="KC302" t="s">
        <v>1</v>
      </c>
      <c r="KD302" t="s">
        <v>1</v>
      </c>
      <c r="KE302" s="1" t="s">
        <v>1</v>
      </c>
      <c r="KF302" t="s">
        <v>1</v>
      </c>
      <c r="KG302" t="s">
        <v>1</v>
      </c>
      <c r="KH302" t="s">
        <v>1</v>
      </c>
      <c r="KI302" t="s">
        <v>1</v>
      </c>
      <c r="KJ302" t="s">
        <v>1</v>
      </c>
      <c r="KK302" t="s">
        <v>1</v>
      </c>
    </row>
    <row r="303" spans="1:297" x14ac:dyDescent="0.2">
      <c r="A303">
        <v>271</v>
      </c>
      <c r="B303" t="s">
        <v>705</v>
      </c>
      <c r="C303" t="s">
        <v>332</v>
      </c>
      <c r="D303" t="s">
        <v>324</v>
      </c>
      <c r="E303">
        <v>47</v>
      </c>
      <c r="F303" t="s">
        <v>325</v>
      </c>
      <c r="G303" t="s">
        <v>1</v>
      </c>
      <c r="H303" s="26" t="s">
        <v>1420</v>
      </c>
      <c r="I303" t="s">
        <v>1</v>
      </c>
      <c r="J303" t="s">
        <v>1</v>
      </c>
      <c r="K303" t="s">
        <v>1</v>
      </c>
      <c r="L303" t="s">
        <v>1</v>
      </c>
      <c r="M303" t="s">
        <v>1</v>
      </c>
      <c r="N303" t="s">
        <v>1</v>
      </c>
      <c r="O303" t="s">
        <v>1</v>
      </c>
      <c r="P303" t="s">
        <v>1</v>
      </c>
      <c r="Q303" t="s">
        <v>1</v>
      </c>
      <c r="R303" t="s">
        <v>1</v>
      </c>
      <c r="S303" t="s">
        <v>1</v>
      </c>
      <c r="T303" t="s">
        <v>1</v>
      </c>
      <c r="U303" t="s">
        <v>1</v>
      </c>
      <c r="V303" t="s">
        <v>1</v>
      </c>
      <c r="W303" t="s">
        <v>1</v>
      </c>
      <c r="X303" t="s">
        <v>1</v>
      </c>
      <c r="Y303" t="s">
        <v>1</v>
      </c>
      <c r="Z303" t="s">
        <v>1</v>
      </c>
      <c r="AA303" t="s">
        <v>1</v>
      </c>
      <c r="AB303" t="s">
        <v>1</v>
      </c>
      <c r="AC303" t="s">
        <v>1</v>
      </c>
      <c r="AD303" t="s">
        <v>1</v>
      </c>
      <c r="AE303" t="s">
        <v>1</v>
      </c>
      <c r="AF303" t="s">
        <v>1</v>
      </c>
      <c r="AG303" t="s">
        <v>1</v>
      </c>
      <c r="AH303" t="s">
        <v>1</v>
      </c>
      <c r="AI303" t="s">
        <v>1</v>
      </c>
      <c r="AJ303" t="s">
        <v>1</v>
      </c>
      <c r="AK303" t="s">
        <v>1</v>
      </c>
      <c r="AL303" t="s">
        <v>1</v>
      </c>
      <c r="AM303" t="s">
        <v>1</v>
      </c>
      <c r="AN303">
        <v>271</v>
      </c>
      <c r="AO303">
        <f t="shared" si="36"/>
        <v>271</v>
      </c>
      <c r="AP303">
        <f t="shared" si="40"/>
        <v>47</v>
      </c>
      <c r="AQ303">
        <f t="shared" si="41"/>
        <v>47</v>
      </c>
      <c r="AR303" s="26" t="s">
        <v>1355</v>
      </c>
      <c r="AS303" s="26" t="s">
        <v>1356</v>
      </c>
      <c r="AT303" t="s">
        <v>710</v>
      </c>
      <c r="AU303" t="s">
        <v>1</v>
      </c>
      <c r="AV303" t="s">
        <v>1</v>
      </c>
      <c r="AW303">
        <v>31.23</v>
      </c>
      <c r="AX303">
        <v>119.88</v>
      </c>
      <c r="AY303" t="s">
        <v>737</v>
      </c>
      <c r="BA303" s="3">
        <v>4</v>
      </c>
      <c r="BB303" s="3"/>
      <c r="BC303" s="3"/>
      <c r="BD303" s="3"/>
      <c r="BE303" s="3"/>
      <c r="BF303">
        <v>2009</v>
      </c>
      <c r="BG303" s="24" t="s">
        <v>733</v>
      </c>
      <c r="BH303" s="24" t="s">
        <v>733</v>
      </c>
      <c r="BI303" s="24" t="s">
        <v>733</v>
      </c>
      <c r="BJ303" s="24" t="s">
        <v>732</v>
      </c>
      <c r="BK303" s="24" t="s">
        <v>733</v>
      </c>
      <c r="BL303" s="25" t="s">
        <v>733</v>
      </c>
      <c r="BM303" s="24" t="s">
        <v>733</v>
      </c>
      <c r="BN303" s="24" t="s">
        <v>732</v>
      </c>
      <c r="BO303" s="24" t="s">
        <v>733</v>
      </c>
      <c r="BP303" s="24" t="s">
        <v>733</v>
      </c>
      <c r="BQ303" s="24" t="s">
        <v>945</v>
      </c>
      <c r="BR303" s="24" t="s">
        <v>945</v>
      </c>
      <c r="BS303" s="25" t="s">
        <v>934</v>
      </c>
      <c r="BT303" s="24" t="s">
        <v>934</v>
      </c>
      <c r="BU303" s="24" t="s">
        <v>934</v>
      </c>
      <c r="BV303" s="24" t="s">
        <v>934</v>
      </c>
      <c r="BW303" s="24" t="s">
        <v>934</v>
      </c>
      <c r="BX303" s="24" t="s">
        <v>934</v>
      </c>
      <c r="BY303" s="25" t="s">
        <v>945</v>
      </c>
      <c r="BZ303" t="s">
        <v>788</v>
      </c>
      <c r="CB303" t="s">
        <v>333</v>
      </c>
      <c r="CC303" s="4">
        <f>SUM(26284*0.073,18037*0.1,43376*0.1)+AVERAGE(0.9,1.3)*1000</f>
        <v>9160.0319999999992</v>
      </c>
      <c r="CD303" s="4"/>
      <c r="CE303" s="4"/>
      <c r="CF303" t="s">
        <v>793</v>
      </c>
      <c r="CG303">
        <v>100</v>
      </c>
      <c r="CH303" t="s">
        <v>805</v>
      </c>
      <c r="CI303" s="1">
        <f>AVERAGE(1,1,1,1.6)</f>
        <v>1.1499999999999999</v>
      </c>
      <c r="CJ303" s="10" t="s">
        <v>1445</v>
      </c>
      <c r="CK303" s="9" t="s">
        <v>1</v>
      </c>
      <c r="CL303" s="4" t="s">
        <v>1</v>
      </c>
      <c r="CM303" t="s">
        <v>847</v>
      </c>
      <c r="CN303" s="34">
        <f>AVERAGE(62.1,67.3)+AVERAGE(18,6)</f>
        <v>76.7</v>
      </c>
      <c r="CO303" s="4" t="s">
        <v>1</v>
      </c>
      <c r="CP303" s="4" t="s">
        <v>1</v>
      </c>
      <c r="CQ303" s="4" t="s">
        <v>1</v>
      </c>
      <c r="CR303" s="4" t="s">
        <v>1</v>
      </c>
      <c r="CS303" s="4" t="s">
        <v>1</v>
      </c>
      <c r="CT303" s="4" t="s">
        <v>1</v>
      </c>
      <c r="CU303" s="4" t="s">
        <v>1</v>
      </c>
      <c r="CV303" t="s">
        <v>1068</v>
      </c>
      <c r="CW303">
        <v>100</v>
      </c>
      <c r="CX303">
        <v>0</v>
      </c>
      <c r="CY303">
        <v>20</v>
      </c>
      <c r="CZ303" s="26" t="s">
        <v>1358</v>
      </c>
      <c r="DA303" t="s">
        <v>734</v>
      </c>
      <c r="DB303">
        <v>8.3000000000000007</v>
      </c>
      <c r="DC303">
        <v>0</v>
      </c>
      <c r="DD303">
        <v>20</v>
      </c>
      <c r="DE303" s="26" t="s">
        <v>1358</v>
      </c>
      <c r="DF303" t="s">
        <v>735</v>
      </c>
      <c r="DG303">
        <v>76.400000000000006</v>
      </c>
      <c r="DH303">
        <v>0</v>
      </c>
      <c r="DI303">
        <v>20</v>
      </c>
      <c r="DJ303" s="26" t="s">
        <v>1358</v>
      </c>
      <c r="DK303" t="s">
        <v>736</v>
      </c>
      <c r="DL303">
        <v>15.3</v>
      </c>
      <c r="DM303">
        <v>0</v>
      </c>
      <c r="DN303">
        <v>20</v>
      </c>
      <c r="DO303" s="26" t="s">
        <v>1358</v>
      </c>
      <c r="DP303" t="s">
        <v>6</v>
      </c>
      <c r="DQ303" t="s">
        <v>813</v>
      </c>
      <c r="DR303">
        <v>5.6</v>
      </c>
      <c r="DS303">
        <v>0</v>
      </c>
      <c r="DT303">
        <v>20</v>
      </c>
      <c r="DU303" s="26" t="s">
        <v>1358</v>
      </c>
      <c r="EA303" t="s">
        <v>982</v>
      </c>
      <c r="EB303">
        <v>14.399999999999999</v>
      </c>
      <c r="EC303">
        <v>0</v>
      </c>
      <c r="ED303">
        <v>20</v>
      </c>
      <c r="EE303" s="26" t="s">
        <v>1358</v>
      </c>
      <c r="EF303" s="26"/>
      <c r="FZ303" t="s">
        <v>806</v>
      </c>
      <c r="GA303">
        <v>648</v>
      </c>
      <c r="GE303" s="26" t="s">
        <v>1358</v>
      </c>
      <c r="HA303" s="5" t="s">
        <v>1</v>
      </c>
      <c r="HB303" s="4" t="s">
        <v>1</v>
      </c>
      <c r="HC303" t="s">
        <v>1</v>
      </c>
      <c r="HD303" t="s">
        <v>1</v>
      </c>
      <c r="HE303" t="s">
        <v>1</v>
      </c>
      <c r="HF303" s="5" t="s">
        <v>1063</v>
      </c>
      <c r="HG303" s="4">
        <v>1.04</v>
      </c>
      <c r="HH303">
        <v>0</v>
      </c>
      <c r="HI303">
        <v>20</v>
      </c>
      <c r="HJ303" s="26" t="s">
        <v>1358</v>
      </c>
      <c r="HK303" t="s">
        <v>815</v>
      </c>
      <c r="HL303">
        <v>1.44</v>
      </c>
      <c r="HM303">
        <v>0</v>
      </c>
      <c r="HN303">
        <v>20</v>
      </c>
      <c r="HO303" t="s">
        <v>1</v>
      </c>
      <c r="HP303" s="26" t="s">
        <v>1358</v>
      </c>
      <c r="HZ303" t="s">
        <v>1</v>
      </c>
      <c r="IA303" t="s">
        <v>1</v>
      </c>
      <c r="IB303" s="10" t="s">
        <v>1</v>
      </c>
      <c r="IC303" s="10"/>
      <c r="ID303" s="10"/>
      <c r="IE303" s="10" t="s">
        <v>1</v>
      </c>
      <c r="IF303" s="10" t="s">
        <v>1</v>
      </c>
      <c r="IG303" s="10"/>
      <c r="IH303" s="10"/>
      <c r="II303" s="10"/>
      <c r="IJ303" s="10"/>
      <c r="IK303" s="10"/>
      <c r="IL303" s="10"/>
      <c r="IM303" s="10"/>
      <c r="IN303" s="10"/>
      <c r="IO303" s="10"/>
      <c r="IP303" s="10"/>
      <c r="IQ303" s="10"/>
      <c r="IR303" s="10"/>
      <c r="IS303" t="s">
        <v>978</v>
      </c>
      <c r="IT303">
        <v>234</v>
      </c>
      <c r="IW303" t="s">
        <v>1</v>
      </c>
      <c r="IX303" t="s">
        <v>1</v>
      </c>
      <c r="IY303" t="s">
        <v>808</v>
      </c>
      <c r="IZ303">
        <v>2693</v>
      </c>
      <c r="JA303" t="s">
        <v>1</v>
      </c>
      <c r="JB303" s="3" t="s">
        <v>1</v>
      </c>
      <c r="JC303" t="s">
        <v>1</v>
      </c>
      <c r="JD303" s="4" t="s">
        <v>1</v>
      </c>
      <c r="JE303" t="s">
        <v>1</v>
      </c>
      <c r="JF303" t="s">
        <v>1</v>
      </c>
      <c r="JR303" t="s">
        <v>1066</v>
      </c>
      <c r="JS303">
        <v>44.3</v>
      </c>
      <c r="JU303" t="s">
        <v>1</v>
      </c>
      <c r="JW303" t="s">
        <v>1</v>
      </c>
      <c r="JX303">
        <v>0</v>
      </c>
      <c r="JY303">
        <v>50</v>
      </c>
      <c r="JZ303" t="s">
        <v>796</v>
      </c>
      <c r="KA303" t="s">
        <v>198</v>
      </c>
      <c r="KB303" t="s">
        <v>738</v>
      </c>
      <c r="KC303" t="s">
        <v>1</v>
      </c>
      <c r="KD303" t="s">
        <v>1</v>
      </c>
      <c r="KE303" s="1" t="s">
        <v>1</v>
      </c>
      <c r="KF303" t="s">
        <v>1</v>
      </c>
      <c r="KG303" t="s">
        <v>1</v>
      </c>
      <c r="KH303" t="s">
        <v>1</v>
      </c>
      <c r="KI303" t="s">
        <v>1</v>
      </c>
      <c r="KJ303" t="s">
        <v>1</v>
      </c>
      <c r="KK303" t="s">
        <v>1</v>
      </c>
    </row>
    <row r="304" spans="1:297" x14ac:dyDescent="0.2">
      <c r="A304">
        <v>272</v>
      </c>
      <c r="B304" t="s">
        <v>705</v>
      </c>
      <c r="C304" t="s">
        <v>334</v>
      </c>
      <c r="D304" t="s">
        <v>324</v>
      </c>
      <c r="E304">
        <v>47</v>
      </c>
      <c r="F304" t="s">
        <v>325</v>
      </c>
      <c r="G304" t="s">
        <v>1</v>
      </c>
      <c r="H304" s="26" t="s">
        <v>1420</v>
      </c>
      <c r="I304" t="s">
        <v>1</v>
      </c>
      <c r="J304" t="s">
        <v>1</v>
      </c>
      <c r="K304" t="s">
        <v>1</v>
      </c>
      <c r="L304" t="s">
        <v>1</v>
      </c>
      <c r="M304" t="s">
        <v>1</v>
      </c>
      <c r="N304" t="s">
        <v>1</v>
      </c>
      <c r="O304" t="s">
        <v>1</v>
      </c>
      <c r="P304" t="s">
        <v>1</v>
      </c>
      <c r="Q304" t="s">
        <v>1</v>
      </c>
      <c r="R304" t="s">
        <v>1</v>
      </c>
      <c r="S304" t="s">
        <v>1</v>
      </c>
      <c r="T304" t="s">
        <v>1</v>
      </c>
      <c r="U304" t="s">
        <v>1</v>
      </c>
      <c r="V304" t="s">
        <v>1</v>
      </c>
      <c r="W304" t="s">
        <v>1</v>
      </c>
      <c r="X304" t="s">
        <v>1</v>
      </c>
      <c r="Y304" t="s">
        <v>1</v>
      </c>
      <c r="Z304" t="s">
        <v>1</v>
      </c>
      <c r="AA304" t="s">
        <v>1</v>
      </c>
      <c r="AB304" t="s">
        <v>1</v>
      </c>
      <c r="AC304" t="s">
        <v>1</v>
      </c>
      <c r="AD304" t="s">
        <v>1</v>
      </c>
      <c r="AE304" t="s">
        <v>1</v>
      </c>
      <c r="AF304" t="s">
        <v>1</v>
      </c>
      <c r="AG304" t="s">
        <v>1</v>
      </c>
      <c r="AH304" t="s">
        <v>1</v>
      </c>
      <c r="AI304" t="s">
        <v>1</v>
      </c>
      <c r="AJ304" t="s">
        <v>1</v>
      </c>
      <c r="AK304" t="s">
        <v>1</v>
      </c>
      <c r="AL304" t="s">
        <v>1</v>
      </c>
      <c r="AM304" t="s">
        <v>1</v>
      </c>
      <c r="AN304">
        <v>272</v>
      </c>
      <c r="AO304">
        <f t="shared" si="36"/>
        <v>272</v>
      </c>
      <c r="AP304">
        <f t="shared" si="40"/>
        <v>47</v>
      </c>
      <c r="AQ304">
        <f t="shared" si="41"/>
        <v>47</v>
      </c>
      <c r="AR304" s="26" t="s">
        <v>1355</v>
      </c>
      <c r="AS304" s="26" t="s">
        <v>1356</v>
      </c>
      <c r="AT304" t="s">
        <v>710</v>
      </c>
      <c r="AU304" t="s">
        <v>1</v>
      </c>
      <c r="AV304" t="s">
        <v>1</v>
      </c>
      <c r="AW304">
        <v>31.23</v>
      </c>
      <c r="AX304">
        <v>119.88</v>
      </c>
      <c r="AY304" t="s">
        <v>737</v>
      </c>
      <c r="BA304" s="3">
        <v>4</v>
      </c>
      <c r="BB304" s="3"/>
      <c r="BC304" s="3"/>
      <c r="BD304" s="3"/>
      <c r="BE304" s="3"/>
      <c r="BF304">
        <v>2009</v>
      </c>
      <c r="BG304" s="24" t="s">
        <v>733</v>
      </c>
      <c r="BH304" s="24" t="s">
        <v>733</v>
      </c>
      <c r="BI304" s="24" t="s">
        <v>733</v>
      </c>
      <c r="BJ304" s="24" t="s">
        <v>732</v>
      </c>
      <c r="BK304" s="24" t="s">
        <v>733</v>
      </c>
      <c r="BL304" s="25" t="s">
        <v>733</v>
      </c>
      <c r="BM304" s="24" t="s">
        <v>733</v>
      </c>
      <c r="BN304" s="24" t="s">
        <v>732</v>
      </c>
      <c r="BO304" s="24" t="s">
        <v>733</v>
      </c>
      <c r="BP304" s="24" t="s">
        <v>733</v>
      </c>
      <c r="BQ304" s="24" t="s">
        <v>945</v>
      </c>
      <c r="BR304" s="24" t="s">
        <v>945</v>
      </c>
      <c r="BS304" s="25" t="s">
        <v>934</v>
      </c>
      <c r="BT304" s="24" t="s">
        <v>934</v>
      </c>
      <c r="BU304" s="24" t="s">
        <v>934</v>
      </c>
      <c r="BV304" s="24" t="s">
        <v>934</v>
      </c>
      <c r="BW304" s="24" t="s">
        <v>934</v>
      </c>
      <c r="BX304" s="24" t="s">
        <v>934</v>
      </c>
      <c r="BY304" s="25" t="s">
        <v>945</v>
      </c>
      <c r="BZ304" t="s">
        <v>788</v>
      </c>
      <c r="CB304" t="s">
        <v>333</v>
      </c>
      <c r="CC304" s="4">
        <f>SUM(44518*0.073,24379*0.1,65904*0.1)+AVERAGE(1.2,2.4)*1000</f>
        <v>14078.114000000001</v>
      </c>
      <c r="CD304" s="4"/>
      <c r="CE304" s="4"/>
      <c r="CF304" t="s">
        <v>793</v>
      </c>
      <c r="CG304">
        <v>100</v>
      </c>
      <c r="CH304" t="s">
        <v>805</v>
      </c>
      <c r="CI304" s="1">
        <f>AVERAGE(1,1,1,1.6)</f>
        <v>1.1499999999999999</v>
      </c>
      <c r="CJ304" s="10" t="s">
        <v>1445</v>
      </c>
      <c r="CK304" s="9" t="s">
        <v>1</v>
      </c>
      <c r="CL304" s="4" t="s">
        <v>1</v>
      </c>
      <c r="CM304" t="s">
        <v>847</v>
      </c>
      <c r="CN304" s="34">
        <f>AVERAGE(146.6,151.5)+AVERAGE(28,44)</f>
        <v>185.05</v>
      </c>
      <c r="CO304" s="4" t="s">
        <v>1</v>
      </c>
      <c r="CP304" s="4" t="s">
        <v>1</v>
      </c>
      <c r="CQ304" s="4" t="s">
        <v>1</v>
      </c>
      <c r="CR304" s="4" t="s">
        <v>1</v>
      </c>
      <c r="CS304" s="4" t="s">
        <v>1</v>
      </c>
      <c r="CT304" s="4" t="s">
        <v>1</v>
      </c>
      <c r="CU304" s="4" t="s">
        <v>1</v>
      </c>
      <c r="CV304" t="s">
        <v>1068</v>
      </c>
      <c r="CW304">
        <v>100</v>
      </c>
      <c r="CX304">
        <v>0</v>
      </c>
      <c r="CY304">
        <v>20</v>
      </c>
      <c r="CZ304" s="26" t="s">
        <v>1358</v>
      </c>
      <c r="DA304" t="s">
        <v>734</v>
      </c>
      <c r="DB304">
        <v>8.3000000000000007</v>
      </c>
      <c r="DC304">
        <v>0</v>
      </c>
      <c r="DD304">
        <v>20</v>
      </c>
      <c r="DE304" s="26" t="s">
        <v>1358</v>
      </c>
      <c r="DF304" t="s">
        <v>735</v>
      </c>
      <c r="DG304">
        <v>76.400000000000006</v>
      </c>
      <c r="DH304">
        <v>0</v>
      </c>
      <c r="DI304">
        <v>20</v>
      </c>
      <c r="DJ304" s="26" t="s">
        <v>1358</v>
      </c>
      <c r="DK304" t="s">
        <v>736</v>
      </c>
      <c r="DL304">
        <v>15.3</v>
      </c>
      <c r="DM304">
        <v>0</v>
      </c>
      <c r="DN304">
        <v>20</v>
      </c>
      <c r="DO304" s="26" t="s">
        <v>1358</v>
      </c>
      <c r="DP304" t="s">
        <v>6</v>
      </c>
      <c r="DQ304" t="s">
        <v>813</v>
      </c>
      <c r="DR304">
        <v>5.6</v>
      </c>
      <c r="DS304">
        <v>0</v>
      </c>
      <c r="DT304">
        <v>20</v>
      </c>
      <c r="DU304" s="26" t="s">
        <v>1358</v>
      </c>
      <c r="EA304" t="s">
        <v>982</v>
      </c>
      <c r="EB304">
        <v>14.399999999999999</v>
      </c>
      <c r="EC304">
        <v>0</v>
      </c>
      <c r="ED304">
        <v>20</v>
      </c>
      <c r="EE304" s="26" t="s">
        <v>1358</v>
      </c>
      <c r="EF304" s="26"/>
      <c r="FZ304" t="s">
        <v>806</v>
      </c>
      <c r="GA304">
        <v>648</v>
      </c>
      <c r="GE304" s="26" t="s">
        <v>1358</v>
      </c>
      <c r="HA304" s="5" t="s">
        <v>1</v>
      </c>
      <c r="HB304" s="4" t="s">
        <v>1</v>
      </c>
      <c r="HC304" t="s">
        <v>1</v>
      </c>
      <c r="HD304" t="s">
        <v>1</v>
      </c>
      <c r="HE304" t="s">
        <v>1</v>
      </c>
      <c r="HF304" s="5" t="s">
        <v>1063</v>
      </c>
      <c r="HG304" s="4">
        <v>1.04</v>
      </c>
      <c r="HH304">
        <v>0</v>
      </c>
      <c r="HI304">
        <v>20</v>
      </c>
      <c r="HJ304" s="26" t="s">
        <v>1358</v>
      </c>
      <c r="HK304" t="s">
        <v>815</v>
      </c>
      <c r="HL304">
        <v>1.44</v>
      </c>
      <c r="HM304">
        <v>0</v>
      </c>
      <c r="HN304">
        <v>20</v>
      </c>
      <c r="HO304" t="s">
        <v>1</v>
      </c>
      <c r="HP304" s="26" t="s">
        <v>1358</v>
      </c>
      <c r="HZ304" t="s">
        <v>969</v>
      </c>
      <c r="IA304">
        <v>348</v>
      </c>
      <c r="IB304" s="10" t="s">
        <v>1</v>
      </c>
      <c r="IC304" s="10"/>
      <c r="ID304" s="10"/>
      <c r="IE304" s="10" t="s">
        <v>1</v>
      </c>
      <c r="IF304" s="10" t="s">
        <v>1</v>
      </c>
      <c r="IG304" s="10"/>
      <c r="IH304" s="10"/>
      <c r="II304" s="10"/>
      <c r="IJ304" s="10"/>
      <c r="IK304" s="10"/>
      <c r="IL304" s="10"/>
      <c r="IM304" s="10"/>
      <c r="IN304" s="10"/>
      <c r="IO304" s="10"/>
      <c r="IP304" s="10"/>
      <c r="IQ304" s="10"/>
      <c r="IR304" s="10"/>
      <c r="IS304" t="s">
        <v>978</v>
      </c>
      <c r="IT304">
        <v>234</v>
      </c>
      <c r="IW304" t="s">
        <v>1</v>
      </c>
      <c r="IX304" t="s">
        <v>1</v>
      </c>
      <c r="IY304" t="s">
        <v>808</v>
      </c>
      <c r="IZ304">
        <v>2693</v>
      </c>
      <c r="JA304" t="s">
        <v>1</v>
      </c>
      <c r="JB304" s="3" t="s">
        <v>1</v>
      </c>
      <c r="JC304" t="s">
        <v>1</v>
      </c>
      <c r="JD304" s="4" t="s">
        <v>1</v>
      </c>
      <c r="JE304" t="s">
        <v>1</v>
      </c>
      <c r="JF304" t="s">
        <v>1</v>
      </c>
      <c r="JR304" t="s">
        <v>1066</v>
      </c>
      <c r="JS304">
        <v>90.7</v>
      </c>
      <c r="JU304" t="s">
        <v>1</v>
      </c>
      <c r="JW304" t="s">
        <v>1</v>
      </c>
      <c r="JX304">
        <v>0</v>
      </c>
      <c r="JY304">
        <v>50</v>
      </c>
      <c r="JZ304" t="s">
        <v>796</v>
      </c>
      <c r="KA304" t="s">
        <v>198</v>
      </c>
      <c r="KB304" t="s">
        <v>738</v>
      </c>
      <c r="KC304" t="s">
        <v>1</v>
      </c>
      <c r="KD304" t="s">
        <v>1</v>
      </c>
      <c r="KE304" s="1" t="s">
        <v>1</v>
      </c>
      <c r="KF304" t="s">
        <v>1</v>
      </c>
      <c r="KG304" t="s">
        <v>1</v>
      </c>
      <c r="KH304" t="s">
        <v>1</v>
      </c>
      <c r="KI304" t="s">
        <v>1</v>
      </c>
      <c r="KJ304" t="s">
        <v>1</v>
      </c>
      <c r="KK304" t="s">
        <v>1</v>
      </c>
    </row>
    <row r="305" spans="1:297" x14ac:dyDescent="0.2">
      <c r="A305">
        <v>273</v>
      </c>
      <c r="B305" t="s">
        <v>705</v>
      </c>
      <c r="C305" t="s">
        <v>335</v>
      </c>
      <c r="D305" t="s">
        <v>324</v>
      </c>
      <c r="E305">
        <v>47</v>
      </c>
      <c r="F305" t="s">
        <v>325</v>
      </c>
      <c r="G305" t="s">
        <v>1</v>
      </c>
      <c r="H305" s="26" t="s">
        <v>1420</v>
      </c>
      <c r="I305" t="s">
        <v>1</v>
      </c>
      <c r="J305" t="s">
        <v>1</v>
      </c>
      <c r="K305" t="s">
        <v>1</v>
      </c>
      <c r="L305" t="s">
        <v>1</v>
      </c>
      <c r="M305" t="s">
        <v>1</v>
      </c>
      <c r="N305" t="s">
        <v>1</v>
      </c>
      <c r="O305" t="s">
        <v>1</v>
      </c>
      <c r="P305" t="s">
        <v>1</v>
      </c>
      <c r="Q305" t="s">
        <v>1</v>
      </c>
      <c r="R305" t="s">
        <v>1</v>
      </c>
      <c r="S305" t="s">
        <v>1</v>
      </c>
      <c r="T305" t="s">
        <v>1</v>
      </c>
      <c r="U305" t="s">
        <v>1</v>
      </c>
      <c r="V305" t="s">
        <v>1</v>
      </c>
      <c r="W305" t="s">
        <v>1</v>
      </c>
      <c r="X305" t="s">
        <v>1</v>
      </c>
      <c r="Y305" t="s">
        <v>1</v>
      </c>
      <c r="Z305" t="s">
        <v>1</v>
      </c>
      <c r="AA305" t="s">
        <v>1</v>
      </c>
      <c r="AB305" t="s">
        <v>1</v>
      </c>
      <c r="AC305" t="s">
        <v>1</v>
      </c>
      <c r="AD305" t="s">
        <v>1</v>
      </c>
      <c r="AE305" t="s">
        <v>1</v>
      </c>
      <c r="AF305" t="s">
        <v>1</v>
      </c>
      <c r="AG305" t="s">
        <v>1</v>
      </c>
      <c r="AH305" t="s">
        <v>1</v>
      </c>
      <c r="AI305" t="s">
        <v>1</v>
      </c>
      <c r="AJ305" t="s">
        <v>1</v>
      </c>
      <c r="AK305" t="s">
        <v>1</v>
      </c>
      <c r="AL305" t="s">
        <v>1</v>
      </c>
      <c r="AM305" t="s">
        <v>1</v>
      </c>
      <c r="AN305">
        <v>273</v>
      </c>
      <c r="AO305">
        <f t="shared" si="36"/>
        <v>273</v>
      </c>
      <c r="AP305">
        <f t="shared" si="40"/>
        <v>47</v>
      </c>
      <c r="AQ305">
        <f t="shared" si="41"/>
        <v>47</v>
      </c>
      <c r="AR305" s="26" t="s">
        <v>1355</v>
      </c>
      <c r="AS305" s="26" t="s">
        <v>1356</v>
      </c>
      <c r="AT305" t="s">
        <v>710</v>
      </c>
      <c r="AU305" t="s">
        <v>1</v>
      </c>
      <c r="AV305" t="s">
        <v>1</v>
      </c>
      <c r="AW305">
        <v>31.23</v>
      </c>
      <c r="AX305">
        <v>119.88</v>
      </c>
      <c r="AY305" t="s">
        <v>737</v>
      </c>
      <c r="BA305" s="3">
        <v>4</v>
      </c>
      <c r="BB305" s="3"/>
      <c r="BC305" s="3"/>
      <c r="BD305" s="3"/>
      <c r="BE305" s="3"/>
      <c r="BF305">
        <v>2009</v>
      </c>
      <c r="BG305" s="24" t="s">
        <v>733</v>
      </c>
      <c r="BH305" s="24" t="s">
        <v>733</v>
      </c>
      <c r="BI305" s="24" t="s">
        <v>733</v>
      </c>
      <c r="BJ305" s="24" t="s">
        <v>732</v>
      </c>
      <c r="BK305" s="24" t="s">
        <v>733</v>
      </c>
      <c r="BL305" s="25" t="s">
        <v>733</v>
      </c>
      <c r="BM305" s="24" t="s">
        <v>733</v>
      </c>
      <c r="BN305" s="24" t="s">
        <v>732</v>
      </c>
      <c r="BO305" s="24" t="s">
        <v>733</v>
      </c>
      <c r="BP305" s="24" t="s">
        <v>733</v>
      </c>
      <c r="BQ305" s="24" t="s">
        <v>945</v>
      </c>
      <c r="BR305" s="24" t="s">
        <v>945</v>
      </c>
      <c r="BS305" s="25" t="s">
        <v>934</v>
      </c>
      <c r="BT305" s="24" t="s">
        <v>934</v>
      </c>
      <c r="BU305" s="24" t="s">
        <v>934</v>
      </c>
      <c r="BV305" s="24" t="s">
        <v>934</v>
      </c>
      <c r="BW305" s="24" t="s">
        <v>934</v>
      </c>
      <c r="BX305" s="24" t="s">
        <v>934</v>
      </c>
      <c r="BY305" s="25" t="s">
        <v>945</v>
      </c>
      <c r="BZ305" t="s">
        <v>788</v>
      </c>
      <c r="CB305" t="s">
        <v>333</v>
      </c>
      <c r="CC305" s="4">
        <f>SUM(65476*0.073,33397*0.1,78573*0.1)+AVERAGE(1.2,2.2)*1000</f>
        <v>17676.748</v>
      </c>
      <c r="CD305" s="4"/>
      <c r="CE305" s="4"/>
      <c r="CF305" t="s">
        <v>793</v>
      </c>
      <c r="CG305">
        <v>100</v>
      </c>
      <c r="CH305" t="s">
        <v>805</v>
      </c>
      <c r="CI305" s="1">
        <f>AVERAGE(1,1,1,1.6)</f>
        <v>1.1499999999999999</v>
      </c>
      <c r="CJ305" s="10" t="s">
        <v>1445</v>
      </c>
      <c r="CK305" s="9" t="s">
        <v>1</v>
      </c>
      <c r="CL305" s="4" t="s">
        <v>1</v>
      </c>
      <c r="CM305" t="s">
        <v>847</v>
      </c>
      <c r="CN305" s="34">
        <f>AVERAGE(213.2,215.6)+AVERAGE(31,46)</f>
        <v>252.89999999999998</v>
      </c>
      <c r="CO305" s="4" t="s">
        <v>1</v>
      </c>
      <c r="CP305" s="4" t="s">
        <v>1</v>
      </c>
      <c r="CQ305" s="4" t="s">
        <v>1</v>
      </c>
      <c r="CR305" s="4" t="s">
        <v>1</v>
      </c>
      <c r="CS305" s="4" t="s">
        <v>1</v>
      </c>
      <c r="CT305" s="4" t="s">
        <v>1</v>
      </c>
      <c r="CU305" s="4" t="s">
        <v>1</v>
      </c>
      <c r="CV305" t="s">
        <v>1068</v>
      </c>
      <c r="CW305">
        <v>100</v>
      </c>
      <c r="CX305">
        <v>0</v>
      </c>
      <c r="CY305">
        <v>20</v>
      </c>
      <c r="CZ305" s="26" t="s">
        <v>1358</v>
      </c>
      <c r="DA305" t="s">
        <v>734</v>
      </c>
      <c r="DB305">
        <v>8.3000000000000007</v>
      </c>
      <c r="DC305">
        <v>0</v>
      </c>
      <c r="DD305">
        <v>20</v>
      </c>
      <c r="DE305" s="26" t="s">
        <v>1358</v>
      </c>
      <c r="DF305" t="s">
        <v>735</v>
      </c>
      <c r="DG305">
        <v>76.400000000000006</v>
      </c>
      <c r="DH305">
        <v>0</v>
      </c>
      <c r="DI305">
        <v>20</v>
      </c>
      <c r="DJ305" s="26" t="s">
        <v>1358</v>
      </c>
      <c r="DK305" t="s">
        <v>736</v>
      </c>
      <c r="DL305">
        <v>15.3</v>
      </c>
      <c r="DM305">
        <v>0</v>
      </c>
      <c r="DN305">
        <v>20</v>
      </c>
      <c r="DO305" s="26" t="s">
        <v>1358</v>
      </c>
      <c r="DP305" t="s">
        <v>6</v>
      </c>
      <c r="DQ305" t="s">
        <v>813</v>
      </c>
      <c r="DR305">
        <v>5.6</v>
      </c>
      <c r="DS305">
        <v>0</v>
      </c>
      <c r="DT305">
        <v>20</v>
      </c>
      <c r="DU305" s="26" t="s">
        <v>1358</v>
      </c>
      <c r="EA305" t="s">
        <v>982</v>
      </c>
      <c r="EB305">
        <v>14.399999999999999</v>
      </c>
      <c r="EC305">
        <v>0</v>
      </c>
      <c r="ED305">
        <v>20</v>
      </c>
      <c r="EE305" s="26" t="s">
        <v>1358</v>
      </c>
      <c r="EF305" s="26"/>
      <c r="FZ305" t="s">
        <v>806</v>
      </c>
      <c r="GA305">
        <v>648</v>
      </c>
      <c r="GE305" s="26" t="s">
        <v>1358</v>
      </c>
      <c r="HA305" s="5" t="s">
        <v>1</v>
      </c>
      <c r="HB305" s="4" t="s">
        <v>1</v>
      </c>
      <c r="HC305" t="s">
        <v>1</v>
      </c>
      <c r="HD305" t="s">
        <v>1</v>
      </c>
      <c r="HE305" t="s">
        <v>1</v>
      </c>
      <c r="HF305" s="5" t="s">
        <v>1063</v>
      </c>
      <c r="HG305" s="4">
        <v>1.04</v>
      </c>
      <c r="HH305">
        <v>0</v>
      </c>
      <c r="HI305">
        <v>20</v>
      </c>
      <c r="HJ305" s="26" t="s">
        <v>1358</v>
      </c>
      <c r="HK305" t="s">
        <v>815</v>
      </c>
      <c r="HL305">
        <v>1.44</v>
      </c>
      <c r="HM305">
        <v>0</v>
      </c>
      <c r="HN305">
        <v>20</v>
      </c>
      <c r="HO305" t="s">
        <v>1</v>
      </c>
      <c r="HP305" s="26" t="s">
        <v>1358</v>
      </c>
      <c r="HZ305" t="s">
        <v>969</v>
      </c>
      <c r="IA305">
        <v>522</v>
      </c>
      <c r="IB305" s="10" t="s">
        <v>1</v>
      </c>
      <c r="IC305" s="10"/>
      <c r="ID305" s="10"/>
      <c r="IE305" s="10" t="s">
        <v>1</v>
      </c>
      <c r="IF305" s="10" t="s">
        <v>1</v>
      </c>
      <c r="IG305" s="10"/>
      <c r="IH305" s="10"/>
      <c r="II305" s="10"/>
      <c r="IJ305" s="10"/>
      <c r="IK305" s="10"/>
      <c r="IL305" s="10"/>
      <c r="IM305" s="10"/>
      <c r="IN305" s="10"/>
      <c r="IO305" s="10"/>
      <c r="IP305" s="10"/>
      <c r="IQ305" s="10"/>
      <c r="IR305" s="10"/>
      <c r="IS305" t="s">
        <v>978</v>
      </c>
      <c r="IT305">
        <v>234</v>
      </c>
      <c r="IW305" t="s">
        <v>1</v>
      </c>
      <c r="IX305" t="s">
        <v>1</v>
      </c>
      <c r="IY305" t="s">
        <v>808</v>
      </c>
      <c r="IZ305">
        <v>2693</v>
      </c>
      <c r="JA305" t="s">
        <v>1</v>
      </c>
      <c r="JB305" s="3" t="s">
        <v>1</v>
      </c>
      <c r="JC305" t="s">
        <v>1</v>
      </c>
      <c r="JD305" s="4" t="s">
        <v>1</v>
      </c>
      <c r="JE305" t="s">
        <v>1</v>
      </c>
      <c r="JF305" t="s">
        <v>1</v>
      </c>
      <c r="JR305" t="s">
        <v>1066</v>
      </c>
      <c r="JS305">
        <v>130.6</v>
      </c>
      <c r="JU305" t="s">
        <v>1</v>
      </c>
      <c r="JW305" t="s">
        <v>1</v>
      </c>
      <c r="JX305">
        <v>0</v>
      </c>
      <c r="JY305">
        <v>50</v>
      </c>
      <c r="JZ305" t="s">
        <v>796</v>
      </c>
      <c r="KA305" t="s">
        <v>198</v>
      </c>
      <c r="KB305" t="s">
        <v>738</v>
      </c>
      <c r="KC305" t="s">
        <v>1</v>
      </c>
      <c r="KD305" t="s">
        <v>1</v>
      </c>
      <c r="KE305" s="1" t="s">
        <v>1</v>
      </c>
      <c r="KF305" t="s">
        <v>1</v>
      </c>
      <c r="KG305" t="s">
        <v>1</v>
      </c>
      <c r="KH305" t="s">
        <v>1</v>
      </c>
      <c r="KI305" t="s">
        <v>1</v>
      </c>
      <c r="KJ305" t="s">
        <v>1</v>
      </c>
      <c r="KK305" t="s">
        <v>1</v>
      </c>
    </row>
    <row r="306" spans="1:297" x14ac:dyDescent="0.2">
      <c r="A306">
        <v>274</v>
      </c>
      <c r="B306" t="s">
        <v>705</v>
      </c>
      <c r="C306" t="s">
        <v>336</v>
      </c>
      <c r="D306" t="s">
        <v>324</v>
      </c>
      <c r="E306">
        <v>47</v>
      </c>
      <c r="F306" t="s">
        <v>325</v>
      </c>
      <c r="G306" t="s">
        <v>1</v>
      </c>
      <c r="H306" s="26" t="s">
        <v>1420</v>
      </c>
      <c r="I306" t="s">
        <v>1</v>
      </c>
      <c r="J306" t="s">
        <v>1</v>
      </c>
      <c r="K306" t="s">
        <v>1</v>
      </c>
      <c r="L306" t="s">
        <v>1</v>
      </c>
      <c r="M306" t="s">
        <v>1</v>
      </c>
      <c r="N306" t="s">
        <v>1</v>
      </c>
      <c r="O306" t="s">
        <v>1</v>
      </c>
      <c r="P306" t="s">
        <v>1</v>
      </c>
      <c r="Q306" t="s">
        <v>1</v>
      </c>
      <c r="R306" t="s">
        <v>1</v>
      </c>
      <c r="S306" t="s">
        <v>1</v>
      </c>
      <c r="T306" t="s">
        <v>1</v>
      </c>
      <c r="U306" t="s">
        <v>1</v>
      </c>
      <c r="V306" t="s">
        <v>1</v>
      </c>
      <c r="W306" t="s">
        <v>1</v>
      </c>
      <c r="X306" t="s">
        <v>1</v>
      </c>
      <c r="Y306" t="s">
        <v>1</v>
      </c>
      <c r="Z306" t="s">
        <v>1</v>
      </c>
      <c r="AA306" t="s">
        <v>1</v>
      </c>
      <c r="AB306" t="s">
        <v>1</v>
      </c>
      <c r="AC306" t="s">
        <v>1</v>
      </c>
      <c r="AD306" t="s">
        <v>1</v>
      </c>
      <c r="AE306" t="s">
        <v>1</v>
      </c>
      <c r="AF306" t="s">
        <v>1</v>
      </c>
      <c r="AG306" t="s">
        <v>1</v>
      </c>
      <c r="AH306" t="s">
        <v>1</v>
      </c>
      <c r="AI306" t="s">
        <v>1</v>
      </c>
      <c r="AJ306" t="s">
        <v>1</v>
      </c>
      <c r="AK306" t="s">
        <v>1</v>
      </c>
      <c r="AL306" t="s">
        <v>1</v>
      </c>
      <c r="AM306" t="s">
        <v>1</v>
      </c>
      <c r="AN306">
        <v>274</v>
      </c>
      <c r="AO306">
        <f t="shared" si="36"/>
        <v>274</v>
      </c>
      <c r="AP306">
        <f t="shared" si="40"/>
        <v>47</v>
      </c>
      <c r="AQ306">
        <f t="shared" si="41"/>
        <v>47</v>
      </c>
      <c r="AR306" s="26" t="s">
        <v>1355</v>
      </c>
      <c r="AS306" s="26" t="s">
        <v>1356</v>
      </c>
      <c r="AT306" t="s">
        <v>710</v>
      </c>
      <c r="AU306" t="s">
        <v>1</v>
      </c>
      <c r="AV306" t="s">
        <v>1</v>
      </c>
      <c r="AW306">
        <v>31.23</v>
      </c>
      <c r="AX306">
        <v>119.88</v>
      </c>
      <c r="AY306" t="s">
        <v>737</v>
      </c>
      <c r="BA306" s="3">
        <v>4</v>
      </c>
      <c r="BB306" s="3"/>
      <c r="BC306" s="3"/>
      <c r="BD306" s="3"/>
      <c r="BE306" s="3"/>
      <c r="BF306">
        <v>2009</v>
      </c>
      <c r="BG306" s="24" t="s">
        <v>733</v>
      </c>
      <c r="BH306" s="24" t="s">
        <v>733</v>
      </c>
      <c r="BI306" s="24" t="s">
        <v>733</v>
      </c>
      <c r="BJ306" s="24" t="s">
        <v>732</v>
      </c>
      <c r="BK306" s="24" t="s">
        <v>733</v>
      </c>
      <c r="BL306" s="25" t="s">
        <v>733</v>
      </c>
      <c r="BM306" s="24" t="s">
        <v>733</v>
      </c>
      <c r="BN306" s="24" t="s">
        <v>732</v>
      </c>
      <c r="BO306" s="24" t="s">
        <v>733</v>
      </c>
      <c r="BP306" s="24" t="s">
        <v>733</v>
      </c>
      <c r="BQ306" s="24" t="s">
        <v>945</v>
      </c>
      <c r="BR306" s="24" t="s">
        <v>945</v>
      </c>
      <c r="BS306" s="25" t="s">
        <v>934</v>
      </c>
      <c r="BT306" s="24" t="s">
        <v>934</v>
      </c>
      <c r="BU306" s="24" t="s">
        <v>934</v>
      </c>
      <c r="BV306" s="24" t="s">
        <v>934</v>
      </c>
      <c r="BW306" s="24" t="s">
        <v>934</v>
      </c>
      <c r="BX306" s="24" t="s">
        <v>934</v>
      </c>
      <c r="BY306" s="25" t="s">
        <v>945</v>
      </c>
      <c r="BZ306" t="s">
        <v>788</v>
      </c>
      <c r="CB306" t="s">
        <v>333</v>
      </c>
      <c r="CC306" s="4">
        <f>SUM(78287*0.073,33406*0.1,84895*0.1)+AVERAGE(1.3,2.4)*1000</f>
        <v>19395.050999999999</v>
      </c>
      <c r="CD306" s="4"/>
      <c r="CE306" s="4"/>
      <c r="CF306" t="s">
        <v>793</v>
      </c>
      <c r="CG306">
        <v>100</v>
      </c>
      <c r="CH306" t="s">
        <v>805</v>
      </c>
      <c r="CI306" s="1">
        <f>AVERAGE(1,1,1,1.6)</f>
        <v>1.1499999999999999</v>
      </c>
      <c r="CJ306" s="10" t="s">
        <v>1445</v>
      </c>
      <c r="CK306" s="9" t="s">
        <v>1</v>
      </c>
      <c r="CL306" s="4" t="s">
        <v>1</v>
      </c>
      <c r="CM306" t="s">
        <v>847</v>
      </c>
      <c r="CN306" s="34">
        <f>AVERAGE(233.6,232.4)+AVERAGE(31,50)</f>
        <v>273.5</v>
      </c>
      <c r="CO306" s="4" t="s">
        <v>1</v>
      </c>
      <c r="CP306" s="4" t="s">
        <v>1</v>
      </c>
      <c r="CQ306" s="4" t="s">
        <v>1</v>
      </c>
      <c r="CR306" s="4" t="s">
        <v>1</v>
      </c>
      <c r="CS306" s="4" t="s">
        <v>1</v>
      </c>
      <c r="CT306" s="4" t="s">
        <v>1</v>
      </c>
      <c r="CU306" s="4" t="s">
        <v>1</v>
      </c>
      <c r="CV306" t="s">
        <v>1068</v>
      </c>
      <c r="CW306">
        <v>100</v>
      </c>
      <c r="CX306">
        <v>0</v>
      </c>
      <c r="CY306">
        <v>20</v>
      </c>
      <c r="CZ306" s="26" t="s">
        <v>1358</v>
      </c>
      <c r="DA306" t="s">
        <v>734</v>
      </c>
      <c r="DB306">
        <v>8.3000000000000007</v>
      </c>
      <c r="DC306">
        <v>0</v>
      </c>
      <c r="DD306">
        <v>20</v>
      </c>
      <c r="DE306" s="26" t="s">
        <v>1358</v>
      </c>
      <c r="DF306" t="s">
        <v>735</v>
      </c>
      <c r="DG306">
        <v>76.400000000000006</v>
      </c>
      <c r="DH306">
        <v>0</v>
      </c>
      <c r="DI306">
        <v>20</v>
      </c>
      <c r="DJ306" s="26" t="s">
        <v>1358</v>
      </c>
      <c r="DK306" t="s">
        <v>736</v>
      </c>
      <c r="DL306">
        <v>15.3</v>
      </c>
      <c r="DM306">
        <v>0</v>
      </c>
      <c r="DN306">
        <v>20</v>
      </c>
      <c r="DO306" s="26" t="s">
        <v>1358</v>
      </c>
      <c r="DP306" t="s">
        <v>6</v>
      </c>
      <c r="DQ306" t="s">
        <v>813</v>
      </c>
      <c r="DR306">
        <v>5.6</v>
      </c>
      <c r="DS306">
        <v>0</v>
      </c>
      <c r="DT306">
        <v>20</v>
      </c>
      <c r="DU306" s="26" t="s">
        <v>1358</v>
      </c>
      <c r="EA306" t="s">
        <v>982</v>
      </c>
      <c r="EB306">
        <v>14.399999999999999</v>
      </c>
      <c r="EC306">
        <v>0</v>
      </c>
      <c r="ED306">
        <v>20</v>
      </c>
      <c r="EE306" s="26" t="s">
        <v>1358</v>
      </c>
      <c r="EF306" s="26"/>
      <c r="FZ306" t="s">
        <v>806</v>
      </c>
      <c r="GA306">
        <v>648</v>
      </c>
      <c r="GE306" s="26" t="s">
        <v>1358</v>
      </c>
      <c r="HA306" s="5" t="s">
        <v>1</v>
      </c>
      <c r="HB306" s="4" t="s">
        <v>1</v>
      </c>
      <c r="HC306" t="s">
        <v>1</v>
      </c>
      <c r="HD306" t="s">
        <v>1</v>
      </c>
      <c r="HE306" t="s">
        <v>1</v>
      </c>
      <c r="HF306" s="5" t="s">
        <v>1063</v>
      </c>
      <c r="HG306" s="4">
        <v>1.04</v>
      </c>
      <c r="HH306">
        <v>0</v>
      </c>
      <c r="HI306">
        <v>20</v>
      </c>
      <c r="HJ306" s="26" t="s">
        <v>1358</v>
      </c>
      <c r="HK306" t="s">
        <v>815</v>
      </c>
      <c r="HL306">
        <v>1.44</v>
      </c>
      <c r="HM306">
        <v>0</v>
      </c>
      <c r="HN306">
        <v>20</v>
      </c>
      <c r="HO306" t="s">
        <v>1</v>
      </c>
      <c r="HP306" s="26" t="s">
        <v>1358</v>
      </c>
      <c r="HZ306" t="s">
        <v>969</v>
      </c>
      <c r="IA306">
        <v>696</v>
      </c>
      <c r="IB306" s="10" t="s">
        <v>1</v>
      </c>
      <c r="IC306" s="10"/>
      <c r="ID306" s="10"/>
      <c r="IE306" s="10" t="s">
        <v>1</v>
      </c>
      <c r="IF306" s="10" t="s">
        <v>1</v>
      </c>
      <c r="IG306" s="10"/>
      <c r="IH306" s="10"/>
      <c r="II306" s="10"/>
      <c r="IJ306" s="10"/>
      <c r="IK306" s="10"/>
      <c r="IL306" s="10"/>
      <c r="IM306" s="10"/>
      <c r="IN306" s="10"/>
      <c r="IO306" s="10"/>
      <c r="IP306" s="10"/>
      <c r="IQ306" s="10"/>
      <c r="IR306" s="10"/>
      <c r="IS306" t="s">
        <v>978</v>
      </c>
      <c r="IT306">
        <v>234</v>
      </c>
      <c r="IW306" t="s">
        <v>1</v>
      </c>
      <c r="IX306" t="s">
        <v>1</v>
      </c>
      <c r="IY306" t="s">
        <v>808</v>
      </c>
      <c r="IZ306">
        <v>2693</v>
      </c>
      <c r="JA306" t="s">
        <v>1</v>
      </c>
      <c r="JB306" s="3" t="s">
        <v>1</v>
      </c>
      <c r="JC306" t="s">
        <v>1</v>
      </c>
      <c r="JD306" s="4" t="s">
        <v>1</v>
      </c>
      <c r="JE306" t="s">
        <v>1</v>
      </c>
      <c r="JF306" t="s">
        <v>1</v>
      </c>
      <c r="JR306" t="s">
        <v>1066</v>
      </c>
      <c r="JS306">
        <v>243.5</v>
      </c>
      <c r="JU306" t="s">
        <v>1</v>
      </c>
      <c r="JW306" t="s">
        <v>1</v>
      </c>
      <c r="JX306">
        <v>0</v>
      </c>
      <c r="JY306">
        <v>50</v>
      </c>
      <c r="JZ306" t="s">
        <v>796</v>
      </c>
      <c r="KA306" t="s">
        <v>198</v>
      </c>
      <c r="KB306" t="s">
        <v>738</v>
      </c>
      <c r="KC306" t="s">
        <v>1</v>
      </c>
      <c r="KD306" t="s">
        <v>1</v>
      </c>
      <c r="KE306" s="1" t="s">
        <v>1</v>
      </c>
      <c r="KF306" t="s">
        <v>1</v>
      </c>
      <c r="KG306" t="s">
        <v>1</v>
      </c>
      <c r="KH306" t="s">
        <v>1</v>
      </c>
      <c r="KI306" t="s">
        <v>1</v>
      </c>
      <c r="KJ306" t="s">
        <v>1</v>
      </c>
      <c r="KK306" t="s">
        <v>1</v>
      </c>
    </row>
    <row r="307" spans="1:297" x14ac:dyDescent="0.2">
      <c r="A307">
        <v>275</v>
      </c>
      <c r="B307" t="s">
        <v>705</v>
      </c>
      <c r="C307" t="s">
        <v>337</v>
      </c>
      <c r="D307" t="s">
        <v>324</v>
      </c>
      <c r="E307">
        <v>47</v>
      </c>
      <c r="F307" t="s">
        <v>325</v>
      </c>
      <c r="G307" t="s">
        <v>1</v>
      </c>
      <c r="H307" s="26" t="s">
        <v>1420</v>
      </c>
      <c r="I307" t="s">
        <v>1</v>
      </c>
      <c r="J307" t="s">
        <v>1</v>
      </c>
      <c r="K307" t="s">
        <v>1</v>
      </c>
      <c r="L307" t="s">
        <v>1</v>
      </c>
      <c r="M307" t="s">
        <v>1</v>
      </c>
      <c r="N307" t="s">
        <v>1</v>
      </c>
      <c r="O307" t="s">
        <v>1</v>
      </c>
      <c r="P307" t="s">
        <v>1</v>
      </c>
      <c r="Q307" t="s">
        <v>1</v>
      </c>
      <c r="R307" t="s">
        <v>1</v>
      </c>
      <c r="S307" t="s">
        <v>1</v>
      </c>
      <c r="T307" t="s">
        <v>1</v>
      </c>
      <c r="U307" t="s">
        <v>1</v>
      </c>
      <c r="V307" t="s">
        <v>1</v>
      </c>
      <c r="W307" t="s">
        <v>1</v>
      </c>
      <c r="X307" t="s">
        <v>1</v>
      </c>
      <c r="Y307" t="s">
        <v>1</v>
      </c>
      <c r="Z307" t="s">
        <v>1</v>
      </c>
      <c r="AA307" t="s">
        <v>1</v>
      </c>
      <c r="AB307" t="s">
        <v>1</v>
      </c>
      <c r="AC307" t="s">
        <v>1</v>
      </c>
      <c r="AD307" t="s">
        <v>1</v>
      </c>
      <c r="AE307" t="s">
        <v>1</v>
      </c>
      <c r="AF307" t="s">
        <v>1</v>
      </c>
      <c r="AG307" t="s">
        <v>1</v>
      </c>
      <c r="AH307" t="s">
        <v>1</v>
      </c>
      <c r="AI307" t="s">
        <v>1</v>
      </c>
      <c r="AJ307" t="s">
        <v>1</v>
      </c>
      <c r="AK307" t="s">
        <v>1</v>
      </c>
      <c r="AL307" t="s">
        <v>1</v>
      </c>
      <c r="AM307" t="s">
        <v>1</v>
      </c>
      <c r="AN307">
        <v>275</v>
      </c>
      <c r="AO307">
        <f t="shared" si="36"/>
        <v>275</v>
      </c>
      <c r="AP307">
        <f t="shared" si="40"/>
        <v>47</v>
      </c>
      <c r="AQ307">
        <f t="shared" si="41"/>
        <v>47</v>
      </c>
      <c r="AR307" s="26" t="s">
        <v>1355</v>
      </c>
      <c r="AS307" s="26" t="s">
        <v>1356</v>
      </c>
      <c r="AT307" t="s">
        <v>710</v>
      </c>
      <c r="AU307" t="s">
        <v>1</v>
      </c>
      <c r="AV307" t="s">
        <v>1</v>
      </c>
      <c r="AW307">
        <v>31.23</v>
      </c>
      <c r="AX307">
        <v>119.88</v>
      </c>
      <c r="AY307" t="s">
        <v>737</v>
      </c>
      <c r="BA307" s="3">
        <v>4</v>
      </c>
      <c r="BB307" s="3"/>
      <c r="BC307" s="3"/>
      <c r="BD307" s="3"/>
      <c r="BE307" s="3"/>
      <c r="BF307">
        <v>2009</v>
      </c>
      <c r="BG307" s="24" t="s">
        <v>733</v>
      </c>
      <c r="BH307" s="24" t="s">
        <v>733</v>
      </c>
      <c r="BI307" s="24" t="s">
        <v>733</v>
      </c>
      <c r="BJ307" s="24" t="s">
        <v>732</v>
      </c>
      <c r="BK307" s="24" t="s">
        <v>733</v>
      </c>
      <c r="BL307" s="25" t="s">
        <v>733</v>
      </c>
      <c r="BM307" s="24" t="s">
        <v>733</v>
      </c>
      <c r="BN307" s="24" t="s">
        <v>732</v>
      </c>
      <c r="BO307" s="24" t="s">
        <v>733</v>
      </c>
      <c r="BP307" s="24" t="s">
        <v>733</v>
      </c>
      <c r="BQ307" s="24" t="s">
        <v>945</v>
      </c>
      <c r="BR307" s="24" t="s">
        <v>945</v>
      </c>
      <c r="BS307" s="25" t="s">
        <v>934</v>
      </c>
      <c r="BT307" s="24" t="s">
        <v>934</v>
      </c>
      <c r="BU307" s="24" t="s">
        <v>934</v>
      </c>
      <c r="BV307" s="24" t="s">
        <v>934</v>
      </c>
      <c r="BW307" s="24" t="s">
        <v>934</v>
      </c>
      <c r="BX307" s="24" t="s">
        <v>934</v>
      </c>
      <c r="BY307" s="25" t="s">
        <v>945</v>
      </c>
      <c r="BZ307" t="s">
        <v>788</v>
      </c>
      <c r="CB307" t="s">
        <v>333</v>
      </c>
      <c r="CC307" s="4">
        <f>SUM(69443*0.073,32496*0.1,83066*0.1)+AVERAGE(1.7,2.5)*1000</f>
        <v>18725.539000000001</v>
      </c>
      <c r="CD307" s="4"/>
      <c r="CE307" s="4"/>
      <c r="CF307" t="s">
        <v>793</v>
      </c>
      <c r="CG307">
        <v>100</v>
      </c>
      <c r="CH307" t="s">
        <v>805</v>
      </c>
      <c r="CI307" s="1">
        <f>AVERAGE(1,1,1,1.6)</f>
        <v>1.1499999999999999</v>
      </c>
      <c r="CJ307" s="10" t="s">
        <v>1445</v>
      </c>
      <c r="CK307" s="9" t="s">
        <v>1</v>
      </c>
      <c r="CL307" s="4" t="s">
        <v>1</v>
      </c>
      <c r="CM307" t="s">
        <v>847</v>
      </c>
      <c r="CN307" s="34">
        <f>AVERAGE(220.8,214.8)+AVERAGE(38,55)</f>
        <v>264.3</v>
      </c>
      <c r="CO307" s="4" t="s">
        <v>1</v>
      </c>
      <c r="CP307" s="4" t="s">
        <v>1</v>
      </c>
      <c r="CQ307" s="4" t="s">
        <v>1</v>
      </c>
      <c r="CR307" s="4" t="s">
        <v>1</v>
      </c>
      <c r="CS307" s="4" t="s">
        <v>1</v>
      </c>
      <c r="CT307" s="4" t="s">
        <v>1</v>
      </c>
      <c r="CU307" s="4" t="s">
        <v>1</v>
      </c>
      <c r="CV307" t="s">
        <v>1068</v>
      </c>
      <c r="CW307">
        <v>100</v>
      </c>
      <c r="CX307">
        <v>0</v>
      </c>
      <c r="CY307">
        <v>20</v>
      </c>
      <c r="CZ307" s="26" t="s">
        <v>1358</v>
      </c>
      <c r="DA307" t="s">
        <v>734</v>
      </c>
      <c r="DB307">
        <v>8.3000000000000007</v>
      </c>
      <c r="DC307">
        <v>0</v>
      </c>
      <c r="DD307">
        <v>20</v>
      </c>
      <c r="DE307" s="26" t="s">
        <v>1358</v>
      </c>
      <c r="DF307" t="s">
        <v>735</v>
      </c>
      <c r="DG307">
        <v>76.400000000000006</v>
      </c>
      <c r="DH307">
        <v>0</v>
      </c>
      <c r="DI307">
        <v>20</v>
      </c>
      <c r="DJ307" s="26" t="s">
        <v>1358</v>
      </c>
      <c r="DK307" t="s">
        <v>736</v>
      </c>
      <c r="DL307">
        <v>15.3</v>
      </c>
      <c r="DM307">
        <v>0</v>
      </c>
      <c r="DN307">
        <v>20</v>
      </c>
      <c r="DO307" s="26" t="s">
        <v>1358</v>
      </c>
      <c r="DP307" t="s">
        <v>6</v>
      </c>
      <c r="DQ307" t="s">
        <v>813</v>
      </c>
      <c r="DR307">
        <v>5.6</v>
      </c>
      <c r="DS307">
        <v>0</v>
      </c>
      <c r="DT307">
        <v>20</v>
      </c>
      <c r="DU307" s="26" t="s">
        <v>1358</v>
      </c>
      <c r="EA307" t="s">
        <v>982</v>
      </c>
      <c r="EB307">
        <v>14.399999999999999</v>
      </c>
      <c r="EC307">
        <v>0</v>
      </c>
      <c r="ED307">
        <v>20</v>
      </c>
      <c r="EE307" s="26" t="s">
        <v>1358</v>
      </c>
      <c r="EF307" s="26"/>
      <c r="FZ307" t="s">
        <v>806</v>
      </c>
      <c r="GA307">
        <v>648</v>
      </c>
      <c r="GE307" s="26" t="s">
        <v>1358</v>
      </c>
      <c r="HA307" s="5" t="s">
        <v>1</v>
      </c>
      <c r="HB307" s="4" t="s">
        <v>1</v>
      </c>
      <c r="HC307" t="s">
        <v>1</v>
      </c>
      <c r="HD307" t="s">
        <v>1</v>
      </c>
      <c r="HE307" t="s">
        <v>1</v>
      </c>
      <c r="HF307" s="5" t="s">
        <v>1063</v>
      </c>
      <c r="HG307" s="4">
        <v>1.04</v>
      </c>
      <c r="HH307">
        <v>0</v>
      </c>
      <c r="HI307">
        <v>20</v>
      </c>
      <c r="HJ307" s="26" t="s">
        <v>1358</v>
      </c>
      <c r="HK307" t="s">
        <v>815</v>
      </c>
      <c r="HL307">
        <v>1.44</v>
      </c>
      <c r="HM307">
        <v>0</v>
      </c>
      <c r="HN307">
        <v>20</v>
      </c>
      <c r="HO307" t="s">
        <v>1</v>
      </c>
      <c r="HP307" s="26" t="s">
        <v>1358</v>
      </c>
      <c r="HZ307" t="s">
        <v>969</v>
      </c>
      <c r="IA307">
        <v>870</v>
      </c>
      <c r="IB307" s="10" t="s">
        <v>1</v>
      </c>
      <c r="IC307" s="10"/>
      <c r="ID307" s="10"/>
      <c r="IE307" s="10" t="s">
        <v>1</v>
      </c>
      <c r="IF307" s="10" t="s">
        <v>1</v>
      </c>
      <c r="IG307" s="10"/>
      <c r="IH307" s="10"/>
      <c r="II307" s="10"/>
      <c r="IJ307" s="10"/>
      <c r="IK307" s="10"/>
      <c r="IL307" s="10"/>
      <c r="IM307" s="10"/>
      <c r="IN307" s="10"/>
      <c r="IO307" s="10"/>
      <c r="IP307" s="10"/>
      <c r="IQ307" s="10"/>
      <c r="IR307" s="10"/>
      <c r="IS307" t="s">
        <v>978</v>
      </c>
      <c r="IT307">
        <v>234</v>
      </c>
      <c r="IW307" t="s">
        <v>1</v>
      </c>
      <c r="IX307" t="s">
        <v>1</v>
      </c>
      <c r="IY307" t="s">
        <v>808</v>
      </c>
      <c r="IZ307">
        <v>2693</v>
      </c>
      <c r="JA307" t="s">
        <v>1</v>
      </c>
      <c r="JB307" s="3" t="s">
        <v>1</v>
      </c>
      <c r="JC307" t="s">
        <v>1</v>
      </c>
      <c r="JD307" s="4" t="s">
        <v>1</v>
      </c>
      <c r="JE307" t="s">
        <v>1</v>
      </c>
      <c r="JF307" t="s">
        <v>1</v>
      </c>
      <c r="JR307" t="s">
        <v>1066</v>
      </c>
      <c r="JS307">
        <v>309.89999999999998</v>
      </c>
      <c r="JU307" t="s">
        <v>1</v>
      </c>
      <c r="JW307" t="s">
        <v>1</v>
      </c>
      <c r="JX307">
        <v>0</v>
      </c>
      <c r="JY307">
        <v>50</v>
      </c>
      <c r="JZ307" t="s">
        <v>796</v>
      </c>
      <c r="KA307" t="s">
        <v>198</v>
      </c>
      <c r="KB307" t="s">
        <v>738</v>
      </c>
      <c r="KC307" t="s">
        <v>1</v>
      </c>
      <c r="KD307" t="s">
        <v>1</v>
      </c>
      <c r="KE307" s="1" t="s">
        <v>1</v>
      </c>
      <c r="KF307" t="s">
        <v>1</v>
      </c>
      <c r="KG307" t="s">
        <v>1</v>
      </c>
      <c r="KH307" t="s">
        <v>1</v>
      </c>
      <c r="KI307" t="s">
        <v>1</v>
      </c>
      <c r="KJ307" t="s">
        <v>1</v>
      </c>
      <c r="KK307" t="s">
        <v>1</v>
      </c>
    </row>
    <row r="308" spans="1:297" x14ac:dyDescent="0.2">
      <c r="A308">
        <v>276</v>
      </c>
      <c r="B308" t="s">
        <v>705</v>
      </c>
      <c r="C308" t="s">
        <v>224</v>
      </c>
      <c r="D308" t="s">
        <v>338</v>
      </c>
      <c r="E308">
        <v>48</v>
      </c>
      <c r="F308" t="s">
        <v>339</v>
      </c>
      <c r="G308" t="s">
        <v>1</v>
      </c>
      <c r="H308" s="26" t="s">
        <v>1420</v>
      </c>
      <c r="I308" t="s">
        <v>1</v>
      </c>
      <c r="J308" t="s">
        <v>1</v>
      </c>
      <c r="K308" t="s">
        <v>1</v>
      </c>
      <c r="L308" t="s">
        <v>1</v>
      </c>
      <c r="M308" t="s">
        <v>1</v>
      </c>
      <c r="N308" t="s">
        <v>1</v>
      </c>
      <c r="O308" t="s">
        <v>1</v>
      </c>
      <c r="P308" t="s">
        <v>1</v>
      </c>
      <c r="Q308" t="s">
        <v>1</v>
      </c>
      <c r="R308" t="s">
        <v>1</v>
      </c>
      <c r="S308" t="s">
        <v>1</v>
      </c>
      <c r="T308" t="s">
        <v>1</v>
      </c>
      <c r="U308" t="s">
        <v>1</v>
      </c>
      <c r="V308" t="s">
        <v>1</v>
      </c>
      <c r="W308" t="s">
        <v>1</v>
      </c>
      <c r="X308" t="s">
        <v>1</v>
      </c>
      <c r="Y308" t="s">
        <v>1</v>
      </c>
      <c r="Z308" t="s">
        <v>1</v>
      </c>
      <c r="AA308" t="s">
        <v>1</v>
      </c>
      <c r="AB308" t="s">
        <v>1</v>
      </c>
      <c r="AC308" t="s">
        <v>1</v>
      </c>
      <c r="AD308" t="s">
        <v>1</v>
      </c>
      <c r="AE308" t="s">
        <v>1</v>
      </c>
      <c r="AF308" t="s">
        <v>1</v>
      </c>
      <c r="AG308" t="s">
        <v>1</v>
      </c>
      <c r="AH308" t="s">
        <v>1</v>
      </c>
      <c r="AI308" t="s">
        <v>1</v>
      </c>
      <c r="AJ308" t="s">
        <v>1</v>
      </c>
      <c r="AK308" t="s">
        <v>1</v>
      </c>
      <c r="AL308" t="s">
        <v>1</v>
      </c>
      <c r="AM308" t="s">
        <v>1</v>
      </c>
      <c r="AN308">
        <v>276</v>
      </c>
      <c r="AO308">
        <f t="shared" si="36"/>
        <v>276</v>
      </c>
      <c r="AP308">
        <f t="shared" si="40"/>
        <v>48</v>
      </c>
      <c r="AQ308">
        <f t="shared" si="41"/>
        <v>48</v>
      </c>
      <c r="AR308" s="26" t="s">
        <v>1355</v>
      </c>
      <c r="AS308" s="26" t="s">
        <v>1356</v>
      </c>
      <c r="AT308" t="s">
        <v>710</v>
      </c>
      <c r="AU308" t="s">
        <v>1</v>
      </c>
      <c r="AV308" t="s">
        <v>1</v>
      </c>
      <c r="AW308">
        <v>31.23</v>
      </c>
      <c r="AX308">
        <v>119.88</v>
      </c>
      <c r="AY308" t="s">
        <v>737</v>
      </c>
      <c r="BA308" s="3">
        <v>4</v>
      </c>
      <c r="BB308" s="3"/>
      <c r="BC308" s="3"/>
      <c r="BD308" s="3"/>
      <c r="BE308" s="3"/>
      <c r="BF308">
        <v>2007</v>
      </c>
      <c r="BG308" s="24" t="s">
        <v>733</v>
      </c>
      <c r="BH308" s="24" t="s">
        <v>733</v>
      </c>
      <c r="BI308" s="24" t="s">
        <v>733</v>
      </c>
      <c r="BJ308" s="24" t="s">
        <v>732</v>
      </c>
      <c r="BK308" s="24" t="s">
        <v>733</v>
      </c>
      <c r="BL308" s="25" t="s">
        <v>733</v>
      </c>
      <c r="BM308" s="24" t="s">
        <v>733</v>
      </c>
      <c r="BN308" s="24" t="s">
        <v>732</v>
      </c>
      <c r="BO308" s="24" t="s">
        <v>733</v>
      </c>
      <c r="BP308" s="24" t="s">
        <v>733</v>
      </c>
      <c r="BQ308" s="24" t="s">
        <v>945</v>
      </c>
      <c r="BR308" s="24" t="s">
        <v>945</v>
      </c>
      <c r="BS308" s="25" t="s">
        <v>934</v>
      </c>
      <c r="BT308" s="24" t="s">
        <v>934</v>
      </c>
      <c r="BU308" s="24" t="s">
        <v>934</v>
      </c>
      <c r="BV308" s="24" t="s">
        <v>934</v>
      </c>
      <c r="BW308" s="24" t="s">
        <v>934</v>
      </c>
      <c r="BX308" s="24" t="s">
        <v>934</v>
      </c>
      <c r="BY308" s="25" t="s">
        <v>945</v>
      </c>
      <c r="BZ308" t="s">
        <v>788</v>
      </c>
      <c r="CB308" t="s">
        <v>327</v>
      </c>
      <c r="CC308" s="4" t="s">
        <v>1</v>
      </c>
      <c r="CD308" s="4"/>
      <c r="CE308" s="4"/>
      <c r="CF308" t="s">
        <v>1</v>
      </c>
      <c r="CG308" t="s">
        <v>1</v>
      </c>
      <c r="CH308" t="s">
        <v>805</v>
      </c>
      <c r="CI308" s="1">
        <v>1</v>
      </c>
      <c r="CJ308" s="10" t="s">
        <v>1445</v>
      </c>
      <c r="CK308" s="9" t="s">
        <v>1</v>
      </c>
      <c r="CL308" s="4" t="s">
        <v>1</v>
      </c>
      <c r="CM308" t="s">
        <v>847</v>
      </c>
      <c r="CN308" s="34">
        <f>35+30+22</f>
        <v>87</v>
      </c>
      <c r="CO308" s="4" t="s">
        <v>1</v>
      </c>
      <c r="CP308" s="4" t="s">
        <v>1</v>
      </c>
      <c r="CQ308" s="4" t="s">
        <v>1</v>
      </c>
      <c r="CR308" s="4" t="s">
        <v>1</v>
      </c>
      <c r="CS308" s="4" t="s">
        <v>1</v>
      </c>
      <c r="CT308" s="4" t="s">
        <v>1</v>
      </c>
      <c r="CU308" s="4" t="s">
        <v>1</v>
      </c>
      <c r="CV308" t="s">
        <v>1068</v>
      </c>
      <c r="CW308">
        <v>100</v>
      </c>
      <c r="CX308">
        <v>0</v>
      </c>
      <c r="CY308">
        <v>20</v>
      </c>
      <c r="CZ308" s="26" t="s">
        <v>1358</v>
      </c>
      <c r="DA308" t="s">
        <v>734</v>
      </c>
      <c r="DB308">
        <v>8.3000000000000007</v>
      </c>
      <c r="DC308">
        <v>0</v>
      </c>
      <c r="DD308">
        <v>20</v>
      </c>
      <c r="DE308" s="26" t="s">
        <v>1358</v>
      </c>
      <c r="DF308" t="s">
        <v>735</v>
      </c>
      <c r="DG308">
        <v>76.400000000000006</v>
      </c>
      <c r="DH308">
        <v>0</v>
      </c>
      <c r="DI308">
        <v>20</v>
      </c>
      <c r="DJ308" s="26" t="s">
        <v>1358</v>
      </c>
      <c r="DK308" t="s">
        <v>736</v>
      </c>
      <c r="DL308">
        <v>15.3</v>
      </c>
      <c r="DM308">
        <v>0</v>
      </c>
      <c r="DN308">
        <v>20</v>
      </c>
      <c r="DO308" s="26" t="s">
        <v>1358</v>
      </c>
      <c r="DP308" t="s">
        <v>6</v>
      </c>
      <c r="DQ308" t="s">
        <v>813</v>
      </c>
      <c r="DR308">
        <v>5.6</v>
      </c>
      <c r="DS308">
        <v>0</v>
      </c>
      <c r="DT308">
        <v>20</v>
      </c>
      <c r="DU308" s="26" t="s">
        <v>1358</v>
      </c>
      <c r="EA308" t="s">
        <v>982</v>
      </c>
      <c r="EB308">
        <v>14.399999999999999</v>
      </c>
      <c r="EC308">
        <v>0</v>
      </c>
      <c r="ED308">
        <v>20</v>
      </c>
      <c r="EE308" s="26" t="s">
        <v>1358</v>
      </c>
      <c r="EF308" s="26"/>
      <c r="FZ308" t="s">
        <v>806</v>
      </c>
      <c r="GA308">
        <v>800</v>
      </c>
      <c r="GE308" s="26" t="s">
        <v>1358</v>
      </c>
      <c r="HA308" s="10" t="s">
        <v>1</v>
      </c>
      <c r="HB308" s="3" t="s">
        <v>1</v>
      </c>
      <c r="HC308" t="s">
        <v>1</v>
      </c>
      <c r="HD308" t="s">
        <v>1</v>
      </c>
      <c r="HE308" t="s">
        <v>1</v>
      </c>
      <c r="HF308" s="5" t="s">
        <v>1063</v>
      </c>
      <c r="HG308" s="3">
        <v>1.04</v>
      </c>
      <c r="HH308">
        <v>0</v>
      </c>
      <c r="HI308">
        <v>20</v>
      </c>
      <c r="HJ308" s="26" t="s">
        <v>1358</v>
      </c>
      <c r="HK308" t="s">
        <v>815</v>
      </c>
      <c r="HL308">
        <v>1.44</v>
      </c>
      <c r="HM308">
        <v>0</v>
      </c>
      <c r="HN308">
        <v>20</v>
      </c>
      <c r="HO308" t="s">
        <v>1</v>
      </c>
      <c r="HP308" s="26" t="s">
        <v>1358</v>
      </c>
      <c r="HZ308" t="s">
        <v>1</v>
      </c>
      <c r="IA308" t="s">
        <v>1</v>
      </c>
      <c r="IB308" s="10" t="s">
        <v>1</v>
      </c>
      <c r="IC308" s="10"/>
      <c r="ID308" s="10"/>
      <c r="IE308" s="10" t="s">
        <v>1</v>
      </c>
      <c r="IF308" s="10" t="s">
        <v>1</v>
      </c>
      <c r="IG308" s="10"/>
      <c r="IH308" s="10"/>
      <c r="II308" s="10"/>
      <c r="IJ308" s="10"/>
      <c r="IK308" s="10"/>
      <c r="IL308" s="10"/>
      <c r="IM308" s="10"/>
      <c r="IN308" s="10"/>
      <c r="IO308" s="10"/>
      <c r="IP308" s="10"/>
      <c r="IQ308" s="10"/>
      <c r="IR308" s="10"/>
      <c r="IS308" t="s">
        <v>1</v>
      </c>
      <c r="IT308" t="s">
        <v>1</v>
      </c>
      <c r="IW308" t="s">
        <v>1</v>
      </c>
      <c r="IX308" t="s">
        <v>1</v>
      </c>
      <c r="IY308" t="s">
        <v>808</v>
      </c>
      <c r="IZ308">
        <v>2768</v>
      </c>
      <c r="JA308" t="s">
        <v>1065</v>
      </c>
      <c r="JB308" s="3">
        <v>6</v>
      </c>
      <c r="JC308" t="s">
        <v>965</v>
      </c>
      <c r="JD308" s="3">
        <v>2</v>
      </c>
      <c r="JE308" t="s">
        <v>1</v>
      </c>
      <c r="JF308" t="s">
        <v>1</v>
      </c>
      <c r="JR308" t="s">
        <v>1066</v>
      </c>
      <c r="JS308">
        <v>451.5</v>
      </c>
      <c r="JU308" t="s">
        <v>1</v>
      </c>
      <c r="JW308" t="s">
        <v>1</v>
      </c>
      <c r="JX308">
        <v>0</v>
      </c>
      <c r="JY308">
        <v>50</v>
      </c>
      <c r="JZ308" t="s">
        <v>796</v>
      </c>
      <c r="KA308" t="s">
        <v>198</v>
      </c>
      <c r="KB308" t="s">
        <v>738</v>
      </c>
      <c r="KC308" t="s">
        <v>1067</v>
      </c>
      <c r="KD308" s="1">
        <f>0.1+0.4+0.1</f>
        <v>0.6</v>
      </c>
      <c r="KE308" s="1" t="s">
        <v>1</v>
      </c>
      <c r="KF308" s="11" t="s">
        <v>1</v>
      </c>
      <c r="KG308">
        <v>0</v>
      </c>
      <c r="KH308">
        <v>50</v>
      </c>
      <c r="KI308" t="s">
        <v>796</v>
      </c>
      <c r="KJ308" t="s">
        <v>198</v>
      </c>
      <c r="KK308" t="s">
        <v>738</v>
      </c>
    </row>
    <row r="309" spans="1:297" x14ac:dyDescent="0.2">
      <c r="A309">
        <v>277</v>
      </c>
      <c r="B309" t="s">
        <v>705</v>
      </c>
      <c r="C309" t="s">
        <v>340</v>
      </c>
      <c r="D309" t="s">
        <v>338</v>
      </c>
      <c r="E309">
        <v>48</v>
      </c>
      <c r="F309" t="s">
        <v>339</v>
      </c>
      <c r="G309" t="s">
        <v>1</v>
      </c>
      <c r="H309" s="26" t="s">
        <v>1420</v>
      </c>
      <c r="I309" t="s">
        <v>1</v>
      </c>
      <c r="J309" t="s">
        <v>1</v>
      </c>
      <c r="K309" t="s">
        <v>1</v>
      </c>
      <c r="L309" t="s">
        <v>1</v>
      </c>
      <c r="M309" t="s">
        <v>1</v>
      </c>
      <c r="N309" t="s">
        <v>1</v>
      </c>
      <c r="O309" t="s">
        <v>1</v>
      </c>
      <c r="P309" t="s">
        <v>1</v>
      </c>
      <c r="Q309" t="s">
        <v>1</v>
      </c>
      <c r="R309" t="s">
        <v>1</v>
      </c>
      <c r="S309" t="s">
        <v>1</v>
      </c>
      <c r="T309" t="s">
        <v>1</v>
      </c>
      <c r="U309" t="s">
        <v>1</v>
      </c>
      <c r="V309" t="s">
        <v>1</v>
      </c>
      <c r="W309" t="s">
        <v>1</v>
      </c>
      <c r="X309" t="s">
        <v>1</v>
      </c>
      <c r="Y309" t="s">
        <v>1</v>
      </c>
      <c r="Z309" t="s">
        <v>1</v>
      </c>
      <c r="AA309" t="s">
        <v>1</v>
      </c>
      <c r="AB309" t="s">
        <v>1</v>
      </c>
      <c r="AC309" t="s">
        <v>1</v>
      </c>
      <c r="AD309" t="s">
        <v>1</v>
      </c>
      <c r="AE309" t="s">
        <v>1</v>
      </c>
      <c r="AF309" t="s">
        <v>1</v>
      </c>
      <c r="AG309" t="s">
        <v>1</v>
      </c>
      <c r="AH309" t="s">
        <v>1</v>
      </c>
      <c r="AI309" t="s">
        <v>1</v>
      </c>
      <c r="AJ309" t="s">
        <v>1</v>
      </c>
      <c r="AK309" t="s">
        <v>1</v>
      </c>
      <c r="AL309" t="s">
        <v>1</v>
      </c>
      <c r="AM309" t="s">
        <v>1</v>
      </c>
      <c r="AN309">
        <v>277</v>
      </c>
      <c r="AO309">
        <f t="shared" si="36"/>
        <v>277</v>
      </c>
      <c r="AP309">
        <f t="shared" si="40"/>
        <v>48</v>
      </c>
      <c r="AQ309">
        <f t="shared" si="41"/>
        <v>48</v>
      </c>
      <c r="AR309" s="26" t="s">
        <v>1355</v>
      </c>
      <c r="AS309" s="26" t="s">
        <v>1356</v>
      </c>
      <c r="AT309" t="s">
        <v>710</v>
      </c>
      <c r="AU309" t="s">
        <v>1</v>
      </c>
      <c r="AV309" t="s">
        <v>1</v>
      </c>
      <c r="AW309">
        <v>31.23</v>
      </c>
      <c r="AX309">
        <v>119.88</v>
      </c>
      <c r="AY309" t="s">
        <v>737</v>
      </c>
      <c r="BA309" s="3">
        <v>4</v>
      </c>
      <c r="BB309" s="3"/>
      <c r="BC309" s="3"/>
      <c r="BD309" s="3"/>
      <c r="BE309" s="3"/>
      <c r="BF309">
        <v>2007</v>
      </c>
      <c r="BG309" s="24" t="s">
        <v>733</v>
      </c>
      <c r="BH309" s="24" t="s">
        <v>733</v>
      </c>
      <c r="BI309" s="24" t="s">
        <v>733</v>
      </c>
      <c r="BJ309" s="24" t="s">
        <v>732</v>
      </c>
      <c r="BK309" s="24" t="s">
        <v>733</v>
      </c>
      <c r="BL309" s="25" t="s">
        <v>733</v>
      </c>
      <c r="BM309" s="24" t="s">
        <v>733</v>
      </c>
      <c r="BN309" s="24" t="s">
        <v>732</v>
      </c>
      <c r="BO309" s="24" t="s">
        <v>733</v>
      </c>
      <c r="BP309" s="24" t="s">
        <v>733</v>
      </c>
      <c r="BQ309" s="24" t="s">
        <v>945</v>
      </c>
      <c r="BR309" s="24" t="s">
        <v>945</v>
      </c>
      <c r="BS309" s="25" t="s">
        <v>934</v>
      </c>
      <c r="BT309" s="24" t="s">
        <v>934</v>
      </c>
      <c r="BU309" s="24" t="s">
        <v>934</v>
      </c>
      <c r="BV309" s="24" t="s">
        <v>934</v>
      </c>
      <c r="BW309" s="24" t="s">
        <v>934</v>
      </c>
      <c r="BX309" s="24" t="s">
        <v>934</v>
      </c>
      <c r="BY309" s="25" t="s">
        <v>945</v>
      </c>
      <c r="BZ309" t="s">
        <v>788</v>
      </c>
      <c r="CB309" t="s">
        <v>327</v>
      </c>
      <c r="CC309" s="4" t="s">
        <v>1</v>
      </c>
      <c r="CD309" s="4"/>
      <c r="CE309" s="4"/>
      <c r="CF309" t="s">
        <v>1</v>
      </c>
      <c r="CG309" t="s">
        <v>1</v>
      </c>
      <c r="CH309" t="s">
        <v>805</v>
      </c>
      <c r="CI309" s="1">
        <v>1</v>
      </c>
      <c r="CJ309" s="10" t="s">
        <v>1445</v>
      </c>
      <c r="CK309" s="9" t="s">
        <v>1</v>
      </c>
      <c r="CL309" s="4" t="s">
        <v>1</v>
      </c>
      <c r="CM309" t="s">
        <v>847</v>
      </c>
      <c r="CN309" s="34">
        <v>181</v>
      </c>
      <c r="CO309" s="4" t="s">
        <v>1</v>
      </c>
      <c r="CP309" s="4" t="s">
        <v>1</v>
      </c>
      <c r="CQ309" s="4" t="s">
        <v>1</v>
      </c>
      <c r="CR309" s="4" t="s">
        <v>1</v>
      </c>
      <c r="CS309" s="4" t="s">
        <v>1</v>
      </c>
      <c r="CT309" s="4" t="s">
        <v>1</v>
      </c>
      <c r="CU309" s="4" t="s">
        <v>1</v>
      </c>
      <c r="CV309" t="s">
        <v>1068</v>
      </c>
      <c r="CW309">
        <v>100</v>
      </c>
      <c r="CX309">
        <v>0</v>
      </c>
      <c r="CY309">
        <v>20</v>
      </c>
      <c r="CZ309" s="26" t="s">
        <v>1358</v>
      </c>
      <c r="DA309" t="s">
        <v>734</v>
      </c>
      <c r="DB309">
        <v>8.3000000000000007</v>
      </c>
      <c r="DC309">
        <v>0</v>
      </c>
      <c r="DD309">
        <v>20</v>
      </c>
      <c r="DE309" s="26" t="s">
        <v>1358</v>
      </c>
      <c r="DF309" t="s">
        <v>735</v>
      </c>
      <c r="DG309">
        <v>76.400000000000006</v>
      </c>
      <c r="DH309">
        <v>0</v>
      </c>
      <c r="DI309">
        <v>20</v>
      </c>
      <c r="DJ309" s="26" t="s">
        <v>1358</v>
      </c>
      <c r="DK309" t="s">
        <v>736</v>
      </c>
      <c r="DL309">
        <v>15.3</v>
      </c>
      <c r="DM309">
        <v>0</v>
      </c>
      <c r="DN309">
        <v>20</v>
      </c>
      <c r="DO309" s="26" t="s">
        <v>1358</v>
      </c>
      <c r="DP309" t="s">
        <v>6</v>
      </c>
      <c r="DQ309" t="s">
        <v>813</v>
      </c>
      <c r="DR309">
        <v>5.6</v>
      </c>
      <c r="DS309">
        <v>0</v>
      </c>
      <c r="DT309">
        <v>20</v>
      </c>
      <c r="DU309" s="26" t="s">
        <v>1358</v>
      </c>
      <c r="EA309" t="s">
        <v>982</v>
      </c>
      <c r="EB309">
        <v>14.399999999999999</v>
      </c>
      <c r="EC309">
        <v>0</v>
      </c>
      <c r="ED309">
        <v>20</v>
      </c>
      <c r="EE309" s="26" t="s">
        <v>1358</v>
      </c>
      <c r="EF309" s="26"/>
      <c r="FZ309" t="s">
        <v>806</v>
      </c>
      <c r="GA309">
        <v>800</v>
      </c>
      <c r="GE309" s="26" t="s">
        <v>1358</v>
      </c>
      <c r="HA309" s="10" t="s">
        <v>1</v>
      </c>
      <c r="HB309" s="3" t="s">
        <v>1</v>
      </c>
      <c r="HC309" t="s">
        <v>1</v>
      </c>
      <c r="HD309" t="s">
        <v>1</v>
      </c>
      <c r="HE309" t="s">
        <v>1</v>
      </c>
      <c r="HF309" s="5" t="s">
        <v>1063</v>
      </c>
      <c r="HG309" s="3">
        <v>1.04</v>
      </c>
      <c r="HH309">
        <v>0</v>
      </c>
      <c r="HI309">
        <v>20</v>
      </c>
      <c r="HJ309" s="26" t="s">
        <v>1358</v>
      </c>
      <c r="HK309" t="s">
        <v>815</v>
      </c>
      <c r="HL309">
        <v>1.44</v>
      </c>
      <c r="HM309">
        <v>0</v>
      </c>
      <c r="HN309">
        <v>20</v>
      </c>
      <c r="HO309" t="s">
        <v>1</v>
      </c>
      <c r="HP309" s="26" t="s">
        <v>1358</v>
      </c>
      <c r="HZ309" t="s">
        <v>969</v>
      </c>
      <c r="IA309">
        <v>348</v>
      </c>
      <c r="IB309" s="10" t="s">
        <v>1</v>
      </c>
      <c r="IC309" s="10"/>
      <c r="ID309" s="10"/>
      <c r="IE309" s="10" t="s">
        <v>1</v>
      </c>
      <c r="IF309" s="10" t="s">
        <v>1</v>
      </c>
      <c r="IG309" s="10"/>
      <c r="IH309" s="10"/>
      <c r="II309" s="10"/>
      <c r="IJ309" s="10"/>
      <c r="IK309" s="10"/>
      <c r="IL309" s="10"/>
      <c r="IM309" s="10"/>
      <c r="IN309" s="10"/>
      <c r="IO309" s="10"/>
      <c r="IP309" s="10"/>
      <c r="IQ309" s="10"/>
      <c r="IR309" s="10"/>
      <c r="IS309" t="s">
        <v>1</v>
      </c>
      <c r="IT309" t="s">
        <v>1</v>
      </c>
      <c r="IW309" t="s">
        <v>1</v>
      </c>
      <c r="IX309" t="s">
        <v>1</v>
      </c>
      <c r="IY309" t="s">
        <v>808</v>
      </c>
      <c r="IZ309">
        <v>2768</v>
      </c>
      <c r="JA309" t="s">
        <v>1065</v>
      </c>
      <c r="JB309" s="3">
        <v>6</v>
      </c>
      <c r="JC309" t="s">
        <v>965</v>
      </c>
      <c r="JD309" s="3">
        <v>2</v>
      </c>
      <c r="JE309" t="s">
        <v>1</v>
      </c>
      <c r="JF309" t="s">
        <v>1</v>
      </c>
      <c r="JR309" t="s">
        <v>1066</v>
      </c>
      <c r="JS309">
        <v>690.6</v>
      </c>
      <c r="JU309" t="s">
        <v>1</v>
      </c>
      <c r="JW309" t="s">
        <v>1</v>
      </c>
      <c r="JX309">
        <v>0</v>
      </c>
      <c r="JY309">
        <v>50</v>
      </c>
      <c r="JZ309" t="s">
        <v>796</v>
      </c>
      <c r="KA309" t="s">
        <v>198</v>
      </c>
      <c r="KB309" t="s">
        <v>738</v>
      </c>
      <c r="KC309" t="s">
        <v>1067</v>
      </c>
      <c r="KD309" s="1">
        <f>0.2+0.7+0.1</f>
        <v>0.99999999999999989</v>
      </c>
      <c r="KE309" s="1" t="s">
        <v>1</v>
      </c>
      <c r="KF309" s="11" t="s">
        <v>1</v>
      </c>
      <c r="KG309">
        <v>0</v>
      </c>
      <c r="KH309">
        <v>50</v>
      </c>
      <c r="KI309" t="s">
        <v>796</v>
      </c>
      <c r="KJ309" t="s">
        <v>198</v>
      </c>
      <c r="KK309" t="s">
        <v>738</v>
      </c>
    </row>
    <row r="310" spans="1:297" x14ac:dyDescent="0.2">
      <c r="A310">
        <v>278</v>
      </c>
      <c r="B310" t="s">
        <v>705</v>
      </c>
      <c r="C310" t="s">
        <v>341</v>
      </c>
      <c r="D310" t="s">
        <v>338</v>
      </c>
      <c r="E310">
        <v>48</v>
      </c>
      <c r="F310" t="s">
        <v>339</v>
      </c>
      <c r="G310" t="s">
        <v>1</v>
      </c>
      <c r="H310" s="26" t="s">
        <v>1420</v>
      </c>
      <c r="I310" t="s">
        <v>1</v>
      </c>
      <c r="J310" t="s">
        <v>1</v>
      </c>
      <c r="K310" t="s">
        <v>1</v>
      </c>
      <c r="L310" t="s">
        <v>1</v>
      </c>
      <c r="M310" t="s">
        <v>1</v>
      </c>
      <c r="N310" t="s">
        <v>1</v>
      </c>
      <c r="O310" t="s">
        <v>1</v>
      </c>
      <c r="P310" t="s">
        <v>1</v>
      </c>
      <c r="Q310" t="s">
        <v>1</v>
      </c>
      <c r="R310" t="s">
        <v>1</v>
      </c>
      <c r="S310" t="s">
        <v>1</v>
      </c>
      <c r="T310" t="s">
        <v>1</v>
      </c>
      <c r="U310" t="s">
        <v>1</v>
      </c>
      <c r="V310" t="s">
        <v>1</v>
      </c>
      <c r="W310" t="s">
        <v>1</v>
      </c>
      <c r="X310" t="s">
        <v>1</v>
      </c>
      <c r="Y310" t="s">
        <v>1</v>
      </c>
      <c r="Z310" t="s">
        <v>1</v>
      </c>
      <c r="AA310" t="s">
        <v>1</v>
      </c>
      <c r="AB310" t="s">
        <v>1</v>
      </c>
      <c r="AC310" t="s">
        <v>1</v>
      </c>
      <c r="AD310" t="s">
        <v>1</v>
      </c>
      <c r="AE310" t="s">
        <v>1</v>
      </c>
      <c r="AF310" t="s">
        <v>1</v>
      </c>
      <c r="AG310" t="s">
        <v>1</v>
      </c>
      <c r="AH310" t="s">
        <v>1</v>
      </c>
      <c r="AI310" t="s">
        <v>1</v>
      </c>
      <c r="AJ310" t="s">
        <v>1</v>
      </c>
      <c r="AK310" t="s">
        <v>1</v>
      </c>
      <c r="AL310" t="s">
        <v>1</v>
      </c>
      <c r="AM310" t="s">
        <v>1</v>
      </c>
      <c r="AN310">
        <v>278</v>
      </c>
      <c r="AO310">
        <f t="shared" si="36"/>
        <v>278</v>
      </c>
      <c r="AP310">
        <f t="shared" si="40"/>
        <v>48</v>
      </c>
      <c r="AQ310">
        <f t="shared" si="41"/>
        <v>48</v>
      </c>
      <c r="AR310" s="26" t="s">
        <v>1355</v>
      </c>
      <c r="AS310" s="26" t="s">
        <v>1356</v>
      </c>
      <c r="AT310" t="s">
        <v>710</v>
      </c>
      <c r="AU310" t="s">
        <v>1</v>
      </c>
      <c r="AV310" t="s">
        <v>1</v>
      </c>
      <c r="AW310">
        <v>31.23</v>
      </c>
      <c r="AX310">
        <v>119.88</v>
      </c>
      <c r="AY310" t="s">
        <v>737</v>
      </c>
      <c r="BA310" s="3">
        <v>4</v>
      </c>
      <c r="BB310" s="3"/>
      <c r="BC310" s="3"/>
      <c r="BD310" s="3"/>
      <c r="BE310" s="3"/>
      <c r="BF310">
        <v>2007</v>
      </c>
      <c r="BG310" s="24" t="s">
        <v>733</v>
      </c>
      <c r="BH310" s="24" t="s">
        <v>733</v>
      </c>
      <c r="BI310" s="24" t="s">
        <v>733</v>
      </c>
      <c r="BJ310" s="24" t="s">
        <v>732</v>
      </c>
      <c r="BK310" s="24" t="s">
        <v>733</v>
      </c>
      <c r="BL310" s="25" t="s">
        <v>733</v>
      </c>
      <c r="BM310" s="24" t="s">
        <v>733</v>
      </c>
      <c r="BN310" s="24" t="s">
        <v>732</v>
      </c>
      <c r="BO310" s="24" t="s">
        <v>733</v>
      </c>
      <c r="BP310" s="24" t="s">
        <v>733</v>
      </c>
      <c r="BQ310" s="24" t="s">
        <v>945</v>
      </c>
      <c r="BR310" s="24" t="s">
        <v>945</v>
      </c>
      <c r="BS310" s="25" t="s">
        <v>934</v>
      </c>
      <c r="BT310" s="24" t="s">
        <v>934</v>
      </c>
      <c r="BU310" s="24" t="s">
        <v>934</v>
      </c>
      <c r="BV310" s="24" t="s">
        <v>934</v>
      </c>
      <c r="BW310" s="24" t="s">
        <v>934</v>
      </c>
      <c r="BX310" s="24" t="s">
        <v>934</v>
      </c>
      <c r="BY310" s="25" t="s">
        <v>945</v>
      </c>
      <c r="BZ310" t="s">
        <v>788</v>
      </c>
      <c r="CB310" t="s">
        <v>327</v>
      </c>
      <c r="CC310" s="4" t="s">
        <v>1</v>
      </c>
      <c r="CD310" s="4"/>
      <c r="CE310" s="4"/>
      <c r="CF310" t="s">
        <v>1</v>
      </c>
      <c r="CG310" t="s">
        <v>1</v>
      </c>
      <c r="CH310" t="s">
        <v>805</v>
      </c>
      <c r="CI310" s="1">
        <v>1</v>
      </c>
      <c r="CJ310" s="10" t="s">
        <v>1445</v>
      </c>
      <c r="CK310" s="9" t="s">
        <v>1</v>
      </c>
      <c r="CL310" s="4" t="s">
        <v>1</v>
      </c>
      <c r="CM310" t="s">
        <v>847</v>
      </c>
      <c r="CN310" s="34">
        <v>249</v>
      </c>
      <c r="CO310" s="4" t="s">
        <v>1</v>
      </c>
      <c r="CP310" s="4" t="s">
        <v>1</v>
      </c>
      <c r="CQ310" s="4" t="s">
        <v>1</v>
      </c>
      <c r="CR310" s="4" t="s">
        <v>1</v>
      </c>
      <c r="CS310" s="4" t="s">
        <v>1</v>
      </c>
      <c r="CT310" s="4" t="s">
        <v>1</v>
      </c>
      <c r="CU310" s="4" t="s">
        <v>1</v>
      </c>
      <c r="CV310" t="s">
        <v>1068</v>
      </c>
      <c r="CW310">
        <v>100</v>
      </c>
      <c r="CX310">
        <v>0</v>
      </c>
      <c r="CY310">
        <v>20</v>
      </c>
      <c r="CZ310" s="26" t="s">
        <v>1358</v>
      </c>
      <c r="DA310" t="s">
        <v>734</v>
      </c>
      <c r="DB310">
        <v>8.3000000000000007</v>
      </c>
      <c r="DC310">
        <v>0</v>
      </c>
      <c r="DD310">
        <v>20</v>
      </c>
      <c r="DE310" s="26" t="s">
        <v>1358</v>
      </c>
      <c r="DF310" t="s">
        <v>735</v>
      </c>
      <c r="DG310">
        <v>76.400000000000006</v>
      </c>
      <c r="DH310">
        <v>0</v>
      </c>
      <c r="DI310">
        <v>20</v>
      </c>
      <c r="DJ310" s="26" t="s">
        <v>1358</v>
      </c>
      <c r="DK310" t="s">
        <v>736</v>
      </c>
      <c r="DL310">
        <v>15.3</v>
      </c>
      <c r="DM310">
        <v>0</v>
      </c>
      <c r="DN310">
        <v>20</v>
      </c>
      <c r="DO310" s="26" t="s">
        <v>1358</v>
      </c>
      <c r="DP310" t="s">
        <v>6</v>
      </c>
      <c r="DQ310" t="s">
        <v>813</v>
      </c>
      <c r="DR310">
        <v>5.6</v>
      </c>
      <c r="DS310">
        <v>0</v>
      </c>
      <c r="DT310">
        <v>20</v>
      </c>
      <c r="DU310" s="26" t="s">
        <v>1358</v>
      </c>
      <c r="EA310" t="s">
        <v>982</v>
      </c>
      <c r="EB310">
        <v>14.399999999999999</v>
      </c>
      <c r="EC310">
        <v>0</v>
      </c>
      <c r="ED310">
        <v>20</v>
      </c>
      <c r="EE310" s="26" t="s">
        <v>1358</v>
      </c>
      <c r="EF310" s="26"/>
      <c r="FZ310" t="s">
        <v>806</v>
      </c>
      <c r="GA310">
        <v>800</v>
      </c>
      <c r="GE310" s="26" t="s">
        <v>1358</v>
      </c>
      <c r="HA310" s="10" t="s">
        <v>1</v>
      </c>
      <c r="HB310" s="3" t="s">
        <v>1</v>
      </c>
      <c r="HC310" t="s">
        <v>1</v>
      </c>
      <c r="HD310" t="s">
        <v>1</v>
      </c>
      <c r="HE310" t="s">
        <v>1</v>
      </c>
      <c r="HF310" s="5" t="s">
        <v>1063</v>
      </c>
      <c r="HG310" s="3">
        <v>1.04</v>
      </c>
      <c r="HH310">
        <v>0</v>
      </c>
      <c r="HI310">
        <v>20</v>
      </c>
      <c r="HJ310" s="26" t="s">
        <v>1358</v>
      </c>
      <c r="HK310" t="s">
        <v>815</v>
      </c>
      <c r="HL310">
        <v>1.44</v>
      </c>
      <c r="HM310">
        <v>0</v>
      </c>
      <c r="HN310">
        <v>20</v>
      </c>
      <c r="HO310" t="s">
        <v>1</v>
      </c>
      <c r="HP310" s="26" t="s">
        <v>1358</v>
      </c>
      <c r="HZ310" t="s">
        <v>969</v>
      </c>
      <c r="IA310">
        <v>522</v>
      </c>
      <c r="IB310" s="10" t="s">
        <v>1</v>
      </c>
      <c r="IC310" s="10"/>
      <c r="ID310" s="10"/>
      <c r="IE310" s="10" t="s">
        <v>1</v>
      </c>
      <c r="IF310" s="10" t="s">
        <v>1</v>
      </c>
      <c r="IG310" s="10"/>
      <c r="IH310" s="10"/>
      <c r="II310" s="10"/>
      <c r="IJ310" s="10"/>
      <c r="IK310" s="10"/>
      <c r="IL310" s="10"/>
      <c r="IM310" s="10"/>
      <c r="IN310" s="10"/>
      <c r="IO310" s="10"/>
      <c r="IP310" s="10"/>
      <c r="IQ310" s="10"/>
      <c r="IR310" s="10"/>
      <c r="IS310" t="s">
        <v>1</v>
      </c>
      <c r="IT310" t="s">
        <v>1</v>
      </c>
      <c r="IW310" t="s">
        <v>1</v>
      </c>
      <c r="IX310" t="s">
        <v>1</v>
      </c>
      <c r="IY310" t="s">
        <v>808</v>
      </c>
      <c r="IZ310">
        <v>2768</v>
      </c>
      <c r="JA310" t="s">
        <v>1065</v>
      </c>
      <c r="JB310" s="3">
        <v>6</v>
      </c>
      <c r="JC310" t="s">
        <v>965</v>
      </c>
      <c r="JD310" s="3">
        <v>2</v>
      </c>
      <c r="JE310" t="s">
        <v>1</v>
      </c>
      <c r="JF310" t="s">
        <v>1</v>
      </c>
      <c r="JR310" t="s">
        <v>1066</v>
      </c>
      <c r="JS310">
        <v>849.9</v>
      </c>
      <c r="JU310" t="s">
        <v>1</v>
      </c>
      <c r="JW310" t="s">
        <v>1</v>
      </c>
      <c r="JX310">
        <v>0</v>
      </c>
      <c r="JY310">
        <v>50</v>
      </c>
      <c r="JZ310" t="s">
        <v>796</v>
      </c>
      <c r="KA310" t="s">
        <v>198</v>
      </c>
      <c r="KB310" t="s">
        <v>738</v>
      </c>
      <c r="KC310" t="s">
        <v>1067</v>
      </c>
      <c r="KD310" s="1">
        <f>0.2+0.8+0.1</f>
        <v>1.1000000000000001</v>
      </c>
      <c r="KE310" s="1" t="s">
        <v>1</v>
      </c>
      <c r="KF310" s="11" t="s">
        <v>1</v>
      </c>
      <c r="KG310">
        <v>0</v>
      </c>
      <c r="KH310">
        <v>50</v>
      </c>
      <c r="KI310" t="s">
        <v>796</v>
      </c>
      <c r="KJ310" t="s">
        <v>198</v>
      </c>
      <c r="KK310" t="s">
        <v>738</v>
      </c>
    </row>
    <row r="311" spans="1:297" x14ac:dyDescent="0.2">
      <c r="A311">
        <v>279</v>
      </c>
      <c r="B311" t="s">
        <v>705</v>
      </c>
      <c r="C311" t="s">
        <v>342</v>
      </c>
      <c r="D311" t="s">
        <v>338</v>
      </c>
      <c r="E311">
        <v>48</v>
      </c>
      <c r="F311" t="s">
        <v>339</v>
      </c>
      <c r="G311" t="s">
        <v>1</v>
      </c>
      <c r="H311" s="26" t="s">
        <v>1420</v>
      </c>
      <c r="I311" t="s">
        <v>1</v>
      </c>
      <c r="J311" t="s">
        <v>1</v>
      </c>
      <c r="K311" t="s">
        <v>1</v>
      </c>
      <c r="L311" t="s">
        <v>1</v>
      </c>
      <c r="M311" t="s">
        <v>1</v>
      </c>
      <c r="N311" t="s">
        <v>1</v>
      </c>
      <c r="O311" t="s">
        <v>1</v>
      </c>
      <c r="P311" t="s">
        <v>1</v>
      </c>
      <c r="Q311" t="s">
        <v>1</v>
      </c>
      <c r="R311" t="s">
        <v>1</v>
      </c>
      <c r="S311" t="s">
        <v>1</v>
      </c>
      <c r="T311" t="s">
        <v>1</v>
      </c>
      <c r="U311" t="s">
        <v>1</v>
      </c>
      <c r="V311" t="s">
        <v>1</v>
      </c>
      <c r="W311" t="s">
        <v>1</v>
      </c>
      <c r="X311" t="s">
        <v>1</v>
      </c>
      <c r="Y311" t="s">
        <v>1</v>
      </c>
      <c r="Z311" t="s">
        <v>1</v>
      </c>
      <c r="AA311" t="s">
        <v>1</v>
      </c>
      <c r="AB311" t="s">
        <v>1</v>
      </c>
      <c r="AC311" t="s">
        <v>1</v>
      </c>
      <c r="AD311" t="s">
        <v>1</v>
      </c>
      <c r="AE311" t="s">
        <v>1</v>
      </c>
      <c r="AF311" t="s">
        <v>1</v>
      </c>
      <c r="AG311" t="s">
        <v>1</v>
      </c>
      <c r="AH311" t="s">
        <v>1</v>
      </c>
      <c r="AI311" t="s">
        <v>1</v>
      </c>
      <c r="AJ311" t="s">
        <v>1</v>
      </c>
      <c r="AK311" t="s">
        <v>1</v>
      </c>
      <c r="AL311" t="s">
        <v>1</v>
      </c>
      <c r="AM311" t="s">
        <v>1</v>
      </c>
      <c r="AN311">
        <v>279</v>
      </c>
      <c r="AO311">
        <f t="shared" si="36"/>
        <v>279</v>
      </c>
      <c r="AP311">
        <f t="shared" si="40"/>
        <v>48</v>
      </c>
      <c r="AQ311">
        <f t="shared" si="41"/>
        <v>48</v>
      </c>
      <c r="AR311" s="26" t="s">
        <v>1355</v>
      </c>
      <c r="AS311" s="26" t="s">
        <v>1356</v>
      </c>
      <c r="AT311" t="s">
        <v>710</v>
      </c>
      <c r="AU311" t="s">
        <v>1</v>
      </c>
      <c r="AV311" t="s">
        <v>1</v>
      </c>
      <c r="AW311">
        <v>31.23</v>
      </c>
      <c r="AX311">
        <v>119.88</v>
      </c>
      <c r="AY311" t="s">
        <v>737</v>
      </c>
      <c r="BA311" s="3">
        <v>4</v>
      </c>
      <c r="BB311" s="3"/>
      <c r="BC311" s="3"/>
      <c r="BD311" s="3"/>
      <c r="BE311" s="3"/>
      <c r="BF311">
        <v>2007</v>
      </c>
      <c r="BG311" s="24" t="s">
        <v>733</v>
      </c>
      <c r="BH311" s="24" t="s">
        <v>733</v>
      </c>
      <c r="BI311" s="24" t="s">
        <v>733</v>
      </c>
      <c r="BJ311" s="24" t="s">
        <v>732</v>
      </c>
      <c r="BK311" s="24" t="s">
        <v>733</v>
      </c>
      <c r="BL311" s="25" t="s">
        <v>733</v>
      </c>
      <c r="BM311" s="24" t="s">
        <v>733</v>
      </c>
      <c r="BN311" s="24" t="s">
        <v>732</v>
      </c>
      <c r="BO311" s="24" t="s">
        <v>733</v>
      </c>
      <c r="BP311" s="24" t="s">
        <v>733</v>
      </c>
      <c r="BQ311" s="24" t="s">
        <v>945</v>
      </c>
      <c r="BR311" s="24" t="s">
        <v>945</v>
      </c>
      <c r="BS311" s="25" t="s">
        <v>934</v>
      </c>
      <c r="BT311" s="24" t="s">
        <v>934</v>
      </c>
      <c r="BU311" s="24" t="s">
        <v>934</v>
      </c>
      <c r="BV311" s="24" t="s">
        <v>934</v>
      </c>
      <c r="BW311" s="24" t="s">
        <v>934</v>
      </c>
      <c r="BX311" s="24" t="s">
        <v>934</v>
      </c>
      <c r="BY311" s="25" t="s">
        <v>945</v>
      </c>
      <c r="BZ311" t="s">
        <v>788</v>
      </c>
      <c r="CB311" t="s">
        <v>327</v>
      </c>
      <c r="CC311" s="4" t="s">
        <v>1</v>
      </c>
      <c r="CD311" s="4"/>
      <c r="CE311" s="4"/>
      <c r="CF311" t="s">
        <v>1</v>
      </c>
      <c r="CG311" t="s">
        <v>1</v>
      </c>
      <c r="CH311" t="s">
        <v>805</v>
      </c>
      <c r="CI311" s="1">
        <v>1</v>
      </c>
      <c r="CJ311" s="10" t="s">
        <v>1445</v>
      </c>
      <c r="CK311" s="9" t="s">
        <v>1</v>
      </c>
      <c r="CL311" s="4" t="s">
        <v>1</v>
      </c>
      <c r="CM311" t="s">
        <v>847</v>
      </c>
      <c r="CN311" s="34">
        <v>252</v>
      </c>
      <c r="CO311" s="4" t="s">
        <v>1</v>
      </c>
      <c r="CP311" s="4" t="s">
        <v>1</v>
      </c>
      <c r="CQ311" s="4" t="s">
        <v>1</v>
      </c>
      <c r="CR311" s="4" t="s">
        <v>1</v>
      </c>
      <c r="CS311" s="4" t="s">
        <v>1</v>
      </c>
      <c r="CT311" s="4" t="s">
        <v>1</v>
      </c>
      <c r="CU311" s="4" t="s">
        <v>1</v>
      </c>
      <c r="CV311" t="s">
        <v>1068</v>
      </c>
      <c r="CW311">
        <v>100</v>
      </c>
      <c r="CX311">
        <v>0</v>
      </c>
      <c r="CY311">
        <v>20</v>
      </c>
      <c r="CZ311" s="26" t="s">
        <v>1358</v>
      </c>
      <c r="DA311" t="s">
        <v>734</v>
      </c>
      <c r="DB311">
        <v>8.3000000000000007</v>
      </c>
      <c r="DC311">
        <v>0</v>
      </c>
      <c r="DD311">
        <v>20</v>
      </c>
      <c r="DE311" s="26" t="s">
        <v>1358</v>
      </c>
      <c r="DF311" t="s">
        <v>735</v>
      </c>
      <c r="DG311">
        <v>76.400000000000006</v>
      </c>
      <c r="DH311">
        <v>0</v>
      </c>
      <c r="DI311">
        <v>20</v>
      </c>
      <c r="DJ311" s="26" t="s">
        <v>1358</v>
      </c>
      <c r="DK311" t="s">
        <v>736</v>
      </c>
      <c r="DL311">
        <v>15.3</v>
      </c>
      <c r="DM311">
        <v>0</v>
      </c>
      <c r="DN311">
        <v>20</v>
      </c>
      <c r="DO311" s="26" t="s">
        <v>1358</v>
      </c>
      <c r="DP311" t="s">
        <v>6</v>
      </c>
      <c r="DQ311" t="s">
        <v>813</v>
      </c>
      <c r="DR311">
        <v>5.6</v>
      </c>
      <c r="DS311">
        <v>0</v>
      </c>
      <c r="DT311">
        <v>20</v>
      </c>
      <c r="DU311" s="26" t="s">
        <v>1358</v>
      </c>
      <c r="EA311" t="s">
        <v>982</v>
      </c>
      <c r="EB311">
        <v>14.399999999999999</v>
      </c>
      <c r="EC311">
        <v>0</v>
      </c>
      <c r="ED311">
        <v>20</v>
      </c>
      <c r="EE311" s="26" t="s">
        <v>1358</v>
      </c>
      <c r="EF311" s="26"/>
      <c r="FZ311" t="s">
        <v>806</v>
      </c>
      <c r="GA311">
        <v>800</v>
      </c>
      <c r="GE311" s="26" t="s">
        <v>1358</v>
      </c>
      <c r="HA311" s="10" t="s">
        <v>1</v>
      </c>
      <c r="HB311" s="3" t="s">
        <v>1</v>
      </c>
      <c r="HC311" t="s">
        <v>1</v>
      </c>
      <c r="HD311" t="s">
        <v>1</v>
      </c>
      <c r="HE311" t="s">
        <v>1</v>
      </c>
      <c r="HF311" s="5" t="s">
        <v>1063</v>
      </c>
      <c r="HG311" s="3">
        <v>1.04</v>
      </c>
      <c r="HH311">
        <v>0</v>
      </c>
      <c r="HI311">
        <v>20</v>
      </c>
      <c r="HJ311" s="26" t="s">
        <v>1358</v>
      </c>
      <c r="HK311" t="s">
        <v>815</v>
      </c>
      <c r="HL311">
        <v>1.44</v>
      </c>
      <c r="HM311">
        <v>0</v>
      </c>
      <c r="HN311">
        <v>20</v>
      </c>
      <c r="HO311" t="s">
        <v>1</v>
      </c>
      <c r="HP311" s="26" t="s">
        <v>1358</v>
      </c>
      <c r="HZ311" t="s">
        <v>969</v>
      </c>
      <c r="IA311">
        <v>696</v>
      </c>
      <c r="IB311" s="10" t="s">
        <v>1</v>
      </c>
      <c r="IC311" s="10"/>
      <c r="ID311" s="10"/>
      <c r="IE311" s="10" t="s">
        <v>1</v>
      </c>
      <c r="IF311" s="10" t="s">
        <v>1</v>
      </c>
      <c r="IG311" s="10"/>
      <c r="IH311" s="10"/>
      <c r="II311" s="10"/>
      <c r="IJ311" s="10"/>
      <c r="IK311" s="10"/>
      <c r="IL311" s="10"/>
      <c r="IM311" s="10"/>
      <c r="IN311" s="10"/>
      <c r="IO311" s="10"/>
      <c r="IP311" s="10"/>
      <c r="IQ311" s="10"/>
      <c r="IR311" s="10"/>
      <c r="IS311" t="s">
        <v>1</v>
      </c>
      <c r="IT311" t="s">
        <v>1</v>
      </c>
      <c r="IW311" t="s">
        <v>1</v>
      </c>
      <c r="IX311" t="s">
        <v>1</v>
      </c>
      <c r="IY311" t="s">
        <v>808</v>
      </c>
      <c r="IZ311">
        <v>2768</v>
      </c>
      <c r="JA311" t="s">
        <v>1065</v>
      </c>
      <c r="JB311" s="3">
        <v>6</v>
      </c>
      <c r="JC311" t="s">
        <v>965</v>
      </c>
      <c r="JD311" s="3">
        <v>2</v>
      </c>
      <c r="JE311" t="s">
        <v>1</v>
      </c>
      <c r="JF311" t="s">
        <v>1</v>
      </c>
      <c r="JR311" t="s">
        <v>1066</v>
      </c>
      <c r="JS311">
        <v>956.2</v>
      </c>
      <c r="JU311" t="s">
        <v>1</v>
      </c>
      <c r="JW311" t="s">
        <v>1</v>
      </c>
      <c r="JX311">
        <v>0</v>
      </c>
      <c r="JY311">
        <v>50</v>
      </c>
      <c r="JZ311" t="s">
        <v>796</v>
      </c>
      <c r="KA311" t="s">
        <v>198</v>
      </c>
      <c r="KB311" t="s">
        <v>738</v>
      </c>
      <c r="KC311" t="s">
        <v>1067</v>
      </c>
      <c r="KD311" s="1">
        <f>0.2+1.7+0.2</f>
        <v>2.1</v>
      </c>
      <c r="KE311" s="1" t="s">
        <v>1</v>
      </c>
      <c r="KF311" s="11" t="s">
        <v>1</v>
      </c>
      <c r="KG311">
        <v>0</v>
      </c>
      <c r="KH311">
        <v>50</v>
      </c>
      <c r="KI311" t="s">
        <v>796</v>
      </c>
      <c r="KJ311" t="s">
        <v>198</v>
      </c>
      <c r="KK311" t="s">
        <v>738</v>
      </c>
    </row>
    <row r="312" spans="1:297" x14ac:dyDescent="0.2">
      <c r="A312">
        <v>280</v>
      </c>
      <c r="B312" t="s">
        <v>705</v>
      </c>
      <c r="C312" t="s">
        <v>343</v>
      </c>
      <c r="D312" t="s">
        <v>338</v>
      </c>
      <c r="E312">
        <v>48</v>
      </c>
      <c r="F312" t="s">
        <v>339</v>
      </c>
      <c r="G312" t="s">
        <v>1</v>
      </c>
      <c r="H312" s="26" t="s">
        <v>1420</v>
      </c>
      <c r="I312" t="s">
        <v>1</v>
      </c>
      <c r="J312" t="s">
        <v>1</v>
      </c>
      <c r="K312" t="s">
        <v>1</v>
      </c>
      <c r="L312" t="s">
        <v>1</v>
      </c>
      <c r="M312" t="s">
        <v>1</v>
      </c>
      <c r="N312" t="s">
        <v>1</v>
      </c>
      <c r="O312" t="s">
        <v>1</v>
      </c>
      <c r="P312" t="s">
        <v>1</v>
      </c>
      <c r="Q312" t="s">
        <v>1</v>
      </c>
      <c r="R312" t="s">
        <v>1</v>
      </c>
      <c r="S312" t="s">
        <v>1</v>
      </c>
      <c r="T312" t="s">
        <v>1</v>
      </c>
      <c r="U312" t="s">
        <v>1</v>
      </c>
      <c r="V312" t="s">
        <v>1</v>
      </c>
      <c r="W312" t="s">
        <v>1</v>
      </c>
      <c r="X312" t="s">
        <v>1</v>
      </c>
      <c r="Y312" t="s">
        <v>1</v>
      </c>
      <c r="Z312" t="s">
        <v>1</v>
      </c>
      <c r="AA312" t="s">
        <v>1</v>
      </c>
      <c r="AB312" t="s">
        <v>1</v>
      </c>
      <c r="AC312" t="s">
        <v>1</v>
      </c>
      <c r="AD312" t="s">
        <v>1</v>
      </c>
      <c r="AE312" t="s">
        <v>1</v>
      </c>
      <c r="AF312" t="s">
        <v>1</v>
      </c>
      <c r="AG312" t="s">
        <v>1</v>
      </c>
      <c r="AH312" t="s">
        <v>1</v>
      </c>
      <c r="AI312" t="s">
        <v>1</v>
      </c>
      <c r="AJ312" t="s">
        <v>1</v>
      </c>
      <c r="AK312" t="s">
        <v>1</v>
      </c>
      <c r="AL312" t="s">
        <v>1</v>
      </c>
      <c r="AM312" t="s">
        <v>1</v>
      </c>
      <c r="AN312">
        <v>280</v>
      </c>
      <c r="AO312">
        <f t="shared" si="36"/>
        <v>280</v>
      </c>
      <c r="AP312">
        <f t="shared" si="40"/>
        <v>48</v>
      </c>
      <c r="AQ312">
        <f t="shared" si="41"/>
        <v>48</v>
      </c>
      <c r="AR312" s="26" t="s">
        <v>1355</v>
      </c>
      <c r="AS312" s="26" t="s">
        <v>1356</v>
      </c>
      <c r="AT312" t="s">
        <v>710</v>
      </c>
      <c r="AU312" t="s">
        <v>1</v>
      </c>
      <c r="AV312" t="s">
        <v>1</v>
      </c>
      <c r="AW312">
        <v>31.23</v>
      </c>
      <c r="AX312">
        <v>119.88</v>
      </c>
      <c r="AY312" t="s">
        <v>737</v>
      </c>
      <c r="BA312" s="3">
        <v>4</v>
      </c>
      <c r="BB312" s="3"/>
      <c r="BC312" s="3"/>
      <c r="BD312" s="3"/>
      <c r="BE312" s="3"/>
      <c r="BF312">
        <v>2007</v>
      </c>
      <c r="BG312" s="24" t="s">
        <v>733</v>
      </c>
      <c r="BH312" s="24" t="s">
        <v>733</v>
      </c>
      <c r="BI312" s="24" t="s">
        <v>733</v>
      </c>
      <c r="BJ312" s="24" t="s">
        <v>732</v>
      </c>
      <c r="BK312" s="24" t="s">
        <v>733</v>
      </c>
      <c r="BL312" s="25" t="s">
        <v>733</v>
      </c>
      <c r="BM312" s="24" t="s">
        <v>733</v>
      </c>
      <c r="BN312" s="24" t="s">
        <v>732</v>
      </c>
      <c r="BO312" s="24" t="s">
        <v>733</v>
      </c>
      <c r="BP312" s="24" t="s">
        <v>733</v>
      </c>
      <c r="BQ312" s="24" t="s">
        <v>945</v>
      </c>
      <c r="BR312" s="24" t="s">
        <v>945</v>
      </c>
      <c r="BS312" s="25" t="s">
        <v>934</v>
      </c>
      <c r="BT312" s="24" t="s">
        <v>934</v>
      </c>
      <c r="BU312" s="24" t="s">
        <v>934</v>
      </c>
      <c r="BV312" s="24" t="s">
        <v>934</v>
      </c>
      <c r="BW312" s="24" t="s">
        <v>934</v>
      </c>
      <c r="BX312" s="24" t="s">
        <v>934</v>
      </c>
      <c r="BY312" s="25" t="s">
        <v>945</v>
      </c>
      <c r="BZ312" t="s">
        <v>788</v>
      </c>
      <c r="CB312" t="s">
        <v>327</v>
      </c>
      <c r="CC312" s="4" t="s">
        <v>1</v>
      </c>
      <c r="CD312" s="4"/>
      <c r="CE312" s="4"/>
      <c r="CF312" t="s">
        <v>1</v>
      </c>
      <c r="CG312" t="s">
        <v>1</v>
      </c>
      <c r="CH312" t="s">
        <v>805</v>
      </c>
      <c r="CI312" s="1">
        <v>1</v>
      </c>
      <c r="CJ312" s="10" t="s">
        <v>1445</v>
      </c>
      <c r="CK312" s="9" t="s">
        <v>1</v>
      </c>
      <c r="CL312" s="4" t="s">
        <v>1</v>
      </c>
      <c r="CM312" t="s">
        <v>847</v>
      </c>
      <c r="CN312" s="34">
        <v>240</v>
      </c>
      <c r="CO312" s="4" t="s">
        <v>1</v>
      </c>
      <c r="CP312" s="4" t="s">
        <v>1</v>
      </c>
      <c r="CQ312" s="4" t="s">
        <v>1</v>
      </c>
      <c r="CR312" s="4" t="s">
        <v>1</v>
      </c>
      <c r="CS312" s="4" t="s">
        <v>1</v>
      </c>
      <c r="CT312" s="4" t="s">
        <v>1</v>
      </c>
      <c r="CU312" s="4" t="s">
        <v>1</v>
      </c>
      <c r="CV312" t="s">
        <v>1068</v>
      </c>
      <c r="CW312">
        <v>100</v>
      </c>
      <c r="CX312">
        <v>0</v>
      </c>
      <c r="CY312">
        <v>20</v>
      </c>
      <c r="CZ312" s="26" t="s">
        <v>1358</v>
      </c>
      <c r="DA312" t="s">
        <v>734</v>
      </c>
      <c r="DB312">
        <v>8.3000000000000007</v>
      </c>
      <c r="DC312">
        <v>0</v>
      </c>
      <c r="DD312">
        <v>20</v>
      </c>
      <c r="DE312" s="26" t="s">
        <v>1358</v>
      </c>
      <c r="DF312" t="s">
        <v>735</v>
      </c>
      <c r="DG312">
        <v>76.400000000000006</v>
      </c>
      <c r="DH312">
        <v>0</v>
      </c>
      <c r="DI312">
        <v>20</v>
      </c>
      <c r="DJ312" s="26" t="s">
        <v>1358</v>
      </c>
      <c r="DK312" t="s">
        <v>736</v>
      </c>
      <c r="DL312">
        <v>15.3</v>
      </c>
      <c r="DM312">
        <v>0</v>
      </c>
      <c r="DN312">
        <v>20</v>
      </c>
      <c r="DO312" s="26" t="s">
        <v>1358</v>
      </c>
      <c r="DP312" t="s">
        <v>6</v>
      </c>
      <c r="DQ312" t="s">
        <v>813</v>
      </c>
      <c r="DR312">
        <v>5.6</v>
      </c>
      <c r="DS312">
        <v>0</v>
      </c>
      <c r="DT312">
        <v>20</v>
      </c>
      <c r="DU312" s="26" t="s">
        <v>1358</v>
      </c>
      <c r="EA312" t="s">
        <v>982</v>
      </c>
      <c r="EB312">
        <v>14.399999999999999</v>
      </c>
      <c r="EC312">
        <v>0</v>
      </c>
      <c r="ED312">
        <v>20</v>
      </c>
      <c r="EE312" s="26" t="s">
        <v>1358</v>
      </c>
      <c r="EF312" s="26"/>
      <c r="FZ312" t="s">
        <v>806</v>
      </c>
      <c r="GA312">
        <v>800</v>
      </c>
      <c r="GE312" s="26" t="s">
        <v>1358</v>
      </c>
      <c r="HA312" s="10" t="s">
        <v>1</v>
      </c>
      <c r="HB312" s="3" t="s">
        <v>1</v>
      </c>
      <c r="HC312" t="s">
        <v>1</v>
      </c>
      <c r="HD312" t="s">
        <v>1</v>
      </c>
      <c r="HE312" t="s">
        <v>1</v>
      </c>
      <c r="HF312" s="5" t="s">
        <v>1063</v>
      </c>
      <c r="HG312" s="3">
        <v>1.04</v>
      </c>
      <c r="HH312">
        <v>0</v>
      </c>
      <c r="HI312">
        <v>20</v>
      </c>
      <c r="HJ312" s="26" t="s">
        <v>1358</v>
      </c>
      <c r="HK312" t="s">
        <v>815</v>
      </c>
      <c r="HL312">
        <v>1.44</v>
      </c>
      <c r="HM312">
        <v>0</v>
      </c>
      <c r="HN312">
        <v>20</v>
      </c>
      <c r="HO312" t="s">
        <v>1</v>
      </c>
      <c r="HP312" s="26" t="s">
        <v>1358</v>
      </c>
      <c r="HZ312" t="s">
        <v>969</v>
      </c>
      <c r="IA312">
        <v>870</v>
      </c>
      <c r="IB312" s="10" t="s">
        <v>1</v>
      </c>
      <c r="IC312" s="10"/>
      <c r="ID312" s="10"/>
      <c r="IE312" s="10" t="s">
        <v>1</v>
      </c>
      <c r="IF312" s="10" t="s">
        <v>1</v>
      </c>
      <c r="IG312" s="10"/>
      <c r="IH312" s="10"/>
      <c r="II312" s="10"/>
      <c r="IJ312" s="10"/>
      <c r="IK312" s="10"/>
      <c r="IL312" s="10"/>
      <c r="IM312" s="10"/>
      <c r="IN312" s="10"/>
      <c r="IO312" s="10"/>
      <c r="IP312" s="10"/>
      <c r="IQ312" s="10"/>
      <c r="IR312" s="10"/>
      <c r="IS312" t="s">
        <v>1</v>
      </c>
      <c r="IT312" t="s">
        <v>1</v>
      </c>
      <c r="IW312" t="s">
        <v>1</v>
      </c>
      <c r="IX312" t="s">
        <v>1</v>
      </c>
      <c r="IY312" t="s">
        <v>808</v>
      </c>
      <c r="IZ312">
        <v>2768</v>
      </c>
      <c r="JA312" t="s">
        <v>1065</v>
      </c>
      <c r="JB312" s="3">
        <v>6</v>
      </c>
      <c r="JC312" t="s">
        <v>965</v>
      </c>
      <c r="JD312" s="3">
        <v>2</v>
      </c>
      <c r="JE312" t="s">
        <v>1</v>
      </c>
      <c r="JF312" t="s">
        <v>1</v>
      </c>
      <c r="JR312" t="s">
        <v>1066</v>
      </c>
      <c r="JS312">
        <v>1106.7</v>
      </c>
      <c r="JU312" t="s">
        <v>1</v>
      </c>
      <c r="JW312" t="s">
        <v>1</v>
      </c>
      <c r="JX312">
        <v>0</v>
      </c>
      <c r="JY312">
        <v>50</v>
      </c>
      <c r="JZ312" t="s">
        <v>796</v>
      </c>
      <c r="KA312" t="s">
        <v>198</v>
      </c>
      <c r="KB312" t="s">
        <v>738</v>
      </c>
      <c r="KC312" t="s">
        <v>1067</v>
      </c>
      <c r="KD312" s="1">
        <f>0.3+1.8+0.2</f>
        <v>2.3000000000000003</v>
      </c>
      <c r="KE312" s="1" t="s">
        <v>1</v>
      </c>
      <c r="KF312" s="11" t="s">
        <v>1</v>
      </c>
      <c r="KG312">
        <v>0</v>
      </c>
      <c r="KH312">
        <v>50</v>
      </c>
      <c r="KI312" t="s">
        <v>796</v>
      </c>
      <c r="KJ312" t="s">
        <v>198</v>
      </c>
      <c r="KK312" t="s">
        <v>738</v>
      </c>
    </row>
    <row r="313" spans="1:297" x14ac:dyDescent="0.2">
      <c r="A313">
        <v>281</v>
      </c>
      <c r="B313" t="s">
        <v>705</v>
      </c>
      <c r="C313" t="s">
        <v>345</v>
      </c>
      <c r="D313" t="s">
        <v>344</v>
      </c>
      <c r="E313">
        <v>49</v>
      </c>
      <c r="F313" t="s">
        <v>702</v>
      </c>
      <c r="G313" t="s">
        <v>1</v>
      </c>
      <c r="H313" s="26" t="s">
        <v>1420</v>
      </c>
      <c r="I313" t="s">
        <v>1</v>
      </c>
      <c r="J313" t="s">
        <v>1</v>
      </c>
      <c r="K313" t="s">
        <v>1</v>
      </c>
      <c r="L313" t="s">
        <v>1</v>
      </c>
      <c r="M313" t="s">
        <v>1</v>
      </c>
      <c r="N313" t="s">
        <v>1</v>
      </c>
      <c r="O313" t="s">
        <v>1</v>
      </c>
      <c r="P313" t="s">
        <v>1</v>
      </c>
      <c r="Q313" t="s">
        <v>1</v>
      </c>
      <c r="R313" t="s">
        <v>1</v>
      </c>
      <c r="S313" t="s">
        <v>1</v>
      </c>
      <c r="T313" t="s">
        <v>1</v>
      </c>
      <c r="U313" t="s">
        <v>1</v>
      </c>
      <c r="V313" t="s">
        <v>1</v>
      </c>
      <c r="W313" t="s">
        <v>1</v>
      </c>
      <c r="X313" t="s">
        <v>1</v>
      </c>
      <c r="Y313" t="s">
        <v>1</v>
      </c>
      <c r="Z313" t="s">
        <v>1</v>
      </c>
      <c r="AA313" t="s">
        <v>1</v>
      </c>
      <c r="AB313" t="s">
        <v>1</v>
      </c>
      <c r="AC313" t="s">
        <v>1</v>
      </c>
      <c r="AD313" t="s">
        <v>1</v>
      </c>
      <c r="AE313" t="s">
        <v>1</v>
      </c>
      <c r="AF313" t="s">
        <v>1</v>
      </c>
      <c r="AG313" t="s">
        <v>1</v>
      </c>
      <c r="AH313" t="s">
        <v>1</v>
      </c>
      <c r="AI313" t="s">
        <v>1</v>
      </c>
      <c r="AJ313" t="s">
        <v>1</v>
      </c>
      <c r="AK313" t="s">
        <v>1</v>
      </c>
      <c r="AL313" t="s">
        <v>1</v>
      </c>
      <c r="AM313" t="s">
        <v>1</v>
      </c>
      <c r="AN313">
        <v>281</v>
      </c>
      <c r="AO313">
        <f t="shared" si="36"/>
        <v>281</v>
      </c>
      <c r="AP313">
        <f t="shared" si="40"/>
        <v>49</v>
      </c>
      <c r="AQ313">
        <f t="shared" si="41"/>
        <v>49</v>
      </c>
      <c r="AR313" s="26" t="s">
        <v>1355</v>
      </c>
      <c r="AS313" s="26" t="s">
        <v>1356</v>
      </c>
      <c r="AT313" t="s">
        <v>725</v>
      </c>
      <c r="AU313" t="s">
        <v>1</v>
      </c>
      <c r="AV313" t="s">
        <v>1</v>
      </c>
      <c r="AW313">
        <v>51.64</v>
      </c>
      <c r="AX313">
        <v>-1.64</v>
      </c>
      <c r="AY313" t="s">
        <v>737</v>
      </c>
      <c r="BA313" s="3">
        <v>2</v>
      </c>
      <c r="BB313" s="3"/>
      <c r="BC313" s="3"/>
      <c r="BD313" s="3"/>
      <c r="BE313" s="3"/>
      <c r="BF313">
        <v>1992</v>
      </c>
      <c r="BG313" s="24" t="s">
        <v>733</v>
      </c>
      <c r="BH313" s="24" t="s">
        <v>733</v>
      </c>
      <c r="BI313" s="24" t="s">
        <v>733</v>
      </c>
      <c r="BJ313" s="24" t="s">
        <v>732</v>
      </c>
      <c r="BK313" s="24" t="s">
        <v>733</v>
      </c>
      <c r="BL313" s="25" t="s">
        <v>733</v>
      </c>
      <c r="BM313" s="24" t="s">
        <v>733</v>
      </c>
      <c r="BN313" s="24" t="s">
        <v>732</v>
      </c>
      <c r="BO313" s="24" t="s">
        <v>733</v>
      </c>
      <c r="BP313" s="24" t="s">
        <v>733</v>
      </c>
      <c r="BQ313" s="24" t="s">
        <v>945</v>
      </c>
      <c r="BR313" s="24" t="s">
        <v>945</v>
      </c>
      <c r="BS313" s="25" t="s">
        <v>934</v>
      </c>
      <c r="BT313" s="24" t="s">
        <v>934</v>
      </c>
      <c r="BU313" s="24" t="s">
        <v>934</v>
      </c>
      <c r="BV313" s="24" t="s">
        <v>934</v>
      </c>
      <c r="BW313" s="24" t="s">
        <v>934</v>
      </c>
      <c r="BX313" s="24" t="s">
        <v>934</v>
      </c>
      <c r="BY313" s="25" t="s">
        <v>945</v>
      </c>
      <c r="BZ313" t="s">
        <v>1397</v>
      </c>
      <c r="CB313" t="s">
        <v>1403</v>
      </c>
      <c r="CC313" s="4">
        <f>27.9*1000*0.86/5</f>
        <v>4798.8</v>
      </c>
      <c r="CD313" s="4"/>
      <c r="CE313" s="4"/>
      <c r="CF313" t="s">
        <v>793</v>
      </c>
      <c r="CG313">
        <v>100</v>
      </c>
      <c r="CH313" t="s">
        <v>805</v>
      </c>
      <c r="CI313" s="28">
        <f>AVERAGE(1.5,1.7,1.7,1.5,1.5)</f>
        <v>1.58</v>
      </c>
      <c r="CJ313" s="10" t="s">
        <v>1442</v>
      </c>
      <c r="CK313" s="9" t="s">
        <v>1</v>
      </c>
      <c r="CL313" s="4" t="s">
        <v>1</v>
      </c>
      <c r="CM313" t="s">
        <v>847</v>
      </c>
      <c r="CN313" s="4">
        <f>SUM(637,157)/5</f>
        <v>158.80000000000001</v>
      </c>
      <c r="CO313" s="4" t="s">
        <v>1</v>
      </c>
      <c r="CP313" s="4" t="s">
        <v>1</v>
      </c>
      <c r="CQ313" s="4" t="s">
        <v>1</v>
      </c>
      <c r="CR313" s="4" t="s">
        <v>1</v>
      </c>
      <c r="CS313" s="4" t="s">
        <v>1</v>
      </c>
      <c r="CT313" s="4" t="s">
        <v>1</v>
      </c>
      <c r="CU313" s="4" t="s">
        <v>1</v>
      </c>
      <c r="CV313" t="s">
        <v>849</v>
      </c>
      <c r="CW313">
        <v>100</v>
      </c>
      <c r="CX313">
        <v>0</v>
      </c>
      <c r="CY313">
        <v>30</v>
      </c>
      <c r="CZ313" s="26" t="s">
        <v>1358</v>
      </c>
      <c r="DA313" t="s">
        <v>734</v>
      </c>
      <c r="DB313">
        <v>6.7</v>
      </c>
      <c r="DC313">
        <v>0</v>
      </c>
      <c r="DD313">
        <v>30</v>
      </c>
      <c r="DE313" s="26" t="s">
        <v>1358</v>
      </c>
      <c r="DF313" t="s">
        <v>735</v>
      </c>
      <c r="DG313">
        <v>39</v>
      </c>
      <c r="DH313">
        <v>0</v>
      </c>
      <c r="DI313">
        <v>30</v>
      </c>
      <c r="DJ313" s="26" t="s">
        <v>1358</v>
      </c>
      <c r="DK313" t="s">
        <v>736</v>
      </c>
      <c r="DL313">
        <v>54.7</v>
      </c>
      <c r="DM313">
        <v>0</v>
      </c>
      <c r="DN313">
        <v>30</v>
      </c>
      <c r="DO313" s="26" t="s">
        <v>1358</v>
      </c>
      <c r="DP313" t="s">
        <v>1</v>
      </c>
      <c r="DQ313" t="s">
        <v>1</v>
      </c>
      <c r="DR313" t="s">
        <v>1</v>
      </c>
      <c r="DS313" t="s">
        <v>1</v>
      </c>
      <c r="DT313" t="s">
        <v>1</v>
      </c>
      <c r="DU313" t="s">
        <v>1</v>
      </c>
      <c r="EA313" t="s">
        <v>982</v>
      </c>
      <c r="EB313">
        <v>25</v>
      </c>
      <c r="EC313">
        <v>0</v>
      </c>
      <c r="ED313">
        <v>30</v>
      </c>
      <c r="EE313" s="26" t="s">
        <v>1358</v>
      </c>
      <c r="EF313" s="26"/>
      <c r="FZ313" t="s">
        <v>806</v>
      </c>
      <c r="GA313">
        <v>562.79999999999995</v>
      </c>
      <c r="GE313" s="26" t="s">
        <v>1358</v>
      </c>
      <c r="HA313" s="5" t="s">
        <v>1</v>
      </c>
      <c r="HB313" s="4" t="s">
        <v>1</v>
      </c>
      <c r="HC313" t="s">
        <v>1</v>
      </c>
      <c r="HD313" t="s">
        <v>1</v>
      </c>
      <c r="HE313" t="s">
        <v>1</v>
      </c>
      <c r="HF313" s="5" t="s">
        <v>1</v>
      </c>
      <c r="HG313" s="4" t="s">
        <v>1</v>
      </c>
      <c r="HH313" t="s">
        <v>1</v>
      </c>
      <c r="HI313" t="s">
        <v>1</v>
      </c>
      <c r="HJ313" t="s">
        <v>1</v>
      </c>
      <c r="HK313" t="s">
        <v>1</v>
      </c>
      <c r="HL313" t="s">
        <v>1</v>
      </c>
      <c r="HM313" t="s">
        <v>1</v>
      </c>
      <c r="HN313" t="s">
        <v>1</v>
      </c>
      <c r="HO313" t="s">
        <v>1</v>
      </c>
      <c r="HP313" t="s">
        <v>1</v>
      </c>
      <c r="HZ313" t="s">
        <v>1295</v>
      </c>
      <c r="IA313">
        <v>116</v>
      </c>
      <c r="IB313" s="10" t="s">
        <v>1</v>
      </c>
      <c r="IC313" s="10"/>
      <c r="ID313" s="10"/>
      <c r="IE313" s="10" t="s">
        <v>1</v>
      </c>
      <c r="IF313" s="10" t="s">
        <v>1</v>
      </c>
      <c r="IG313" s="10" t="s">
        <v>1</v>
      </c>
      <c r="IH313" s="10" t="s">
        <v>1</v>
      </c>
      <c r="II313" s="10" t="s">
        <v>1</v>
      </c>
      <c r="IJ313" s="10" t="s">
        <v>1</v>
      </c>
      <c r="IK313" s="10" t="s">
        <v>1</v>
      </c>
      <c r="IL313" s="10" t="s">
        <v>1</v>
      </c>
      <c r="IM313" s="10" t="s">
        <v>1</v>
      </c>
      <c r="IN313" s="10" t="s">
        <v>1</v>
      </c>
      <c r="IO313" s="10" t="s">
        <v>1</v>
      </c>
      <c r="IP313" s="10" t="s">
        <v>1</v>
      </c>
      <c r="IQ313" s="10" t="s">
        <v>1</v>
      </c>
      <c r="IR313" s="10" t="s">
        <v>1</v>
      </c>
      <c r="IS313" t="s">
        <v>1</v>
      </c>
      <c r="IT313" t="s">
        <v>1</v>
      </c>
      <c r="IW313" t="s">
        <v>1</v>
      </c>
      <c r="IX313" t="s">
        <v>1</v>
      </c>
      <c r="IY313" t="s">
        <v>1</v>
      </c>
      <c r="IZ313" t="s">
        <v>1</v>
      </c>
      <c r="JA313" t="s">
        <v>1065</v>
      </c>
      <c r="JB313" s="3">
        <v>17</v>
      </c>
      <c r="JC313" t="s">
        <v>1</v>
      </c>
      <c r="JD313" s="4" t="s">
        <v>1</v>
      </c>
      <c r="JE313" t="s">
        <v>1</v>
      </c>
      <c r="JF313" t="s">
        <v>1</v>
      </c>
      <c r="JR313" t="s">
        <v>1066</v>
      </c>
      <c r="JS313">
        <v>102.7</v>
      </c>
      <c r="JU313" t="s">
        <v>1</v>
      </c>
      <c r="JW313" t="s">
        <v>1</v>
      </c>
      <c r="JX313">
        <v>0</v>
      </c>
      <c r="JY313">
        <v>60</v>
      </c>
      <c r="JZ313" t="s">
        <v>802</v>
      </c>
      <c r="KA313" t="s">
        <v>346</v>
      </c>
      <c r="KB313" t="s">
        <v>738</v>
      </c>
      <c r="KC313" t="s">
        <v>1</v>
      </c>
      <c r="KD313" t="s">
        <v>1</v>
      </c>
      <c r="KE313" s="1" t="s">
        <v>1</v>
      </c>
      <c r="KF313" t="s">
        <v>1</v>
      </c>
      <c r="KG313" t="s">
        <v>1</v>
      </c>
      <c r="KH313" t="s">
        <v>1</v>
      </c>
      <c r="KI313" t="s">
        <v>1</v>
      </c>
      <c r="KJ313" t="s">
        <v>1</v>
      </c>
      <c r="KK313" t="s">
        <v>1</v>
      </c>
    </row>
    <row r="314" spans="1:297" x14ac:dyDescent="0.2">
      <c r="A314">
        <v>282</v>
      </c>
      <c r="B314" t="s">
        <v>705</v>
      </c>
      <c r="C314" t="s">
        <v>347</v>
      </c>
      <c r="D314" t="s">
        <v>344</v>
      </c>
      <c r="E314">
        <v>49</v>
      </c>
      <c r="F314" t="s">
        <v>702</v>
      </c>
      <c r="G314" t="s">
        <v>1</v>
      </c>
      <c r="H314" s="26" t="s">
        <v>1420</v>
      </c>
      <c r="I314" t="s">
        <v>1</v>
      </c>
      <c r="J314" t="s">
        <v>1</v>
      </c>
      <c r="K314" t="s">
        <v>1</v>
      </c>
      <c r="L314" t="s">
        <v>1</v>
      </c>
      <c r="M314" t="s">
        <v>1</v>
      </c>
      <c r="N314" t="s">
        <v>1</v>
      </c>
      <c r="O314" t="s">
        <v>1</v>
      </c>
      <c r="P314" t="s">
        <v>1</v>
      </c>
      <c r="Q314" t="s">
        <v>1</v>
      </c>
      <c r="R314" t="s">
        <v>1</v>
      </c>
      <c r="S314" t="s">
        <v>1</v>
      </c>
      <c r="T314" t="s">
        <v>1</v>
      </c>
      <c r="U314" t="s">
        <v>1</v>
      </c>
      <c r="V314" t="s">
        <v>1</v>
      </c>
      <c r="W314" t="s">
        <v>1</v>
      </c>
      <c r="X314" t="s">
        <v>1</v>
      </c>
      <c r="Y314" t="s">
        <v>1</v>
      </c>
      <c r="Z314" t="s">
        <v>1</v>
      </c>
      <c r="AA314" t="s">
        <v>1</v>
      </c>
      <c r="AB314" t="s">
        <v>1</v>
      </c>
      <c r="AC314" t="s">
        <v>1</v>
      </c>
      <c r="AD314" t="s">
        <v>1</v>
      </c>
      <c r="AE314" t="s">
        <v>1</v>
      </c>
      <c r="AF314" t="s">
        <v>1</v>
      </c>
      <c r="AG314" t="s">
        <v>1</v>
      </c>
      <c r="AH314" t="s">
        <v>1</v>
      </c>
      <c r="AI314" t="s">
        <v>1</v>
      </c>
      <c r="AJ314" t="s">
        <v>1</v>
      </c>
      <c r="AK314" t="s">
        <v>1</v>
      </c>
      <c r="AL314" t="s">
        <v>1</v>
      </c>
      <c r="AM314" t="s">
        <v>1</v>
      </c>
      <c r="AN314">
        <v>282</v>
      </c>
      <c r="AO314">
        <f t="shared" si="36"/>
        <v>282</v>
      </c>
      <c r="AP314">
        <f t="shared" si="40"/>
        <v>49</v>
      </c>
      <c r="AQ314">
        <f t="shared" si="41"/>
        <v>49</v>
      </c>
      <c r="AR314" s="26" t="s">
        <v>1355</v>
      </c>
      <c r="AS314" s="26" t="s">
        <v>1356</v>
      </c>
      <c r="AT314" t="s">
        <v>725</v>
      </c>
      <c r="AU314" t="s">
        <v>1</v>
      </c>
      <c r="AV314" t="s">
        <v>1</v>
      </c>
      <c r="AW314">
        <v>51.64</v>
      </c>
      <c r="AX314">
        <v>-1.64</v>
      </c>
      <c r="AY314" t="s">
        <v>737</v>
      </c>
      <c r="BA314" s="3">
        <v>2</v>
      </c>
      <c r="BB314" s="3"/>
      <c r="BC314" s="3"/>
      <c r="BD314" s="3"/>
      <c r="BE314" s="3"/>
      <c r="BF314">
        <v>1992</v>
      </c>
      <c r="BG314" s="24" t="s">
        <v>733</v>
      </c>
      <c r="BH314" s="24" t="s">
        <v>733</v>
      </c>
      <c r="BI314" s="24" t="s">
        <v>733</v>
      </c>
      <c r="BJ314" s="24" t="s">
        <v>732</v>
      </c>
      <c r="BK314" s="24" t="s">
        <v>733</v>
      </c>
      <c r="BL314" s="25" t="s">
        <v>733</v>
      </c>
      <c r="BM314" s="24" t="s">
        <v>733</v>
      </c>
      <c r="BN314" s="24" t="s">
        <v>732</v>
      </c>
      <c r="BO314" s="24" t="s">
        <v>733</v>
      </c>
      <c r="BP314" s="24" t="s">
        <v>733</v>
      </c>
      <c r="BQ314" s="24" t="s">
        <v>945</v>
      </c>
      <c r="BR314" s="24" t="s">
        <v>945</v>
      </c>
      <c r="BS314" s="25" t="s">
        <v>934</v>
      </c>
      <c r="BT314" s="24" t="s">
        <v>934</v>
      </c>
      <c r="BU314" s="24" t="s">
        <v>934</v>
      </c>
      <c r="BV314" s="24" t="s">
        <v>934</v>
      </c>
      <c r="BW314" s="24" t="s">
        <v>934</v>
      </c>
      <c r="BX314" s="24" t="s">
        <v>934</v>
      </c>
      <c r="BY314" s="25" t="s">
        <v>945</v>
      </c>
      <c r="BZ314" t="s">
        <v>1397</v>
      </c>
      <c r="CB314" t="s">
        <v>1403</v>
      </c>
      <c r="CC314" s="4">
        <f>27.1*1000*0.86/5</f>
        <v>4661.2</v>
      </c>
      <c r="CD314" s="4"/>
      <c r="CE314" s="4"/>
      <c r="CF314" t="s">
        <v>793</v>
      </c>
      <c r="CG314">
        <v>100</v>
      </c>
      <c r="CH314" t="s">
        <v>805</v>
      </c>
      <c r="CI314" s="28">
        <f>AVERAGE(1.5,1.7,1.7,1.5,1.5)</f>
        <v>1.58</v>
      </c>
      <c r="CJ314" s="10" t="s">
        <v>1442</v>
      </c>
      <c r="CK314" s="9" t="s">
        <v>1</v>
      </c>
      <c r="CL314" s="4" t="s">
        <v>1</v>
      </c>
      <c r="CM314" t="s">
        <v>847</v>
      </c>
      <c r="CN314" s="4">
        <f>SUM(621,151)/5</f>
        <v>154.4</v>
      </c>
      <c r="CO314" s="4" t="s">
        <v>1</v>
      </c>
      <c r="CP314" s="4" t="s">
        <v>1</v>
      </c>
      <c r="CQ314" s="4" t="s">
        <v>1</v>
      </c>
      <c r="CR314" s="4" t="s">
        <v>1</v>
      </c>
      <c r="CS314" s="4" t="s">
        <v>1</v>
      </c>
      <c r="CT314" s="4" t="s">
        <v>1</v>
      </c>
      <c r="CU314" s="4" t="s">
        <v>1</v>
      </c>
      <c r="CV314" t="s">
        <v>849</v>
      </c>
      <c r="CW314">
        <v>100</v>
      </c>
      <c r="CX314">
        <v>0</v>
      </c>
      <c r="CY314">
        <v>30</v>
      </c>
      <c r="CZ314" s="26" t="s">
        <v>1358</v>
      </c>
      <c r="DA314" t="s">
        <v>734</v>
      </c>
      <c r="DB314">
        <v>6.7</v>
      </c>
      <c r="DC314">
        <v>0</v>
      </c>
      <c r="DD314">
        <v>30</v>
      </c>
      <c r="DE314" s="26" t="s">
        <v>1358</v>
      </c>
      <c r="DF314" t="s">
        <v>735</v>
      </c>
      <c r="DG314">
        <v>39</v>
      </c>
      <c r="DH314">
        <v>0</v>
      </c>
      <c r="DI314">
        <v>30</v>
      </c>
      <c r="DJ314" s="26" t="s">
        <v>1358</v>
      </c>
      <c r="DK314" t="s">
        <v>736</v>
      </c>
      <c r="DL314">
        <v>54.7</v>
      </c>
      <c r="DM314">
        <v>0</v>
      </c>
      <c r="DN314">
        <v>30</v>
      </c>
      <c r="DO314" s="26" t="s">
        <v>1358</v>
      </c>
      <c r="DP314" t="s">
        <v>1</v>
      </c>
      <c r="DQ314" t="s">
        <v>1</v>
      </c>
      <c r="DR314" t="s">
        <v>1</v>
      </c>
      <c r="DS314" t="s">
        <v>1</v>
      </c>
      <c r="DT314" t="s">
        <v>1</v>
      </c>
      <c r="DU314" t="s">
        <v>1</v>
      </c>
      <c r="EA314" t="s">
        <v>982</v>
      </c>
      <c r="EB314">
        <v>25</v>
      </c>
      <c r="EC314">
        <v>0</v>
      </c>
      <c r="ED314">
        <v>30</v>
      </c>
      <c r="EE314" s="26" t="s">
        <v>1358</v>
      </c>
      <c r="EF314" s="26"/>
      <c r="FZ314" t="s">
        <v>806</v>
      </c>
      <c r="GA314">
        <v>562.79999999999995</v>
      </c>
      <c r="GE314" s="26" t="s">
        <v>1358</v>
      </c>
      <c r="HA314" s="5" t="s">
        <v>1</v>
      </c>
      <c r="HB314" s="4" t="s">
        <v>1</v>
      </c>
      <c r="HC314" t="s">
        <v>1</v>
      </c>
      <c r="HD314" t="s">
        <v>1</v>
      </c>
      <c r="HE314" t="s">
        <v>1</v>
      </c>
      <c r="HF314" s="5" t="s">
        <v>1</v>
      </c>
      <c r="HG314" s="4" t="s">
        <v>1</v>
      </c>
      <c r="HH314" t="s">
        <v>1</v>
      </c>
      <c r="HI314" t="s">
        <v>1</v>
      </c>
      <c r="HJ314" t="s">
        <v>1</v>
      </c>
      <c r="HK314" t="s">
        <v>1</v>
      </c>
      <c r="HL314" t="s">
        <v>1</v>
      </c>
      <c r="HM314" t="s">
        <v>1</v>
      </c>
      <c r="HN314" t="s">
        <v>1</v>
      </c>
      <c r="HO314" t="s">
        <v>1</v>
      </c>
      <c r="HP314" t="s">
        <v>1</v>
      </c>
      <c r="HZ314" t="s">
        <v>1295</v>
      </c>
      <c r="IA314">
        <v>116</v>
      </c>
      <c r="IB314" s="10" t="s">
        <v>1</v>
      </c>
      <c r="IC314" s="10"/>
      <c r="ID314" s="10"/>
      <c r="IE314" s="10" t="s">
        <v>1</v>
      </c>
      <c r="IF314" s="10" t="s">
        <v>1</v>
      </c>
      <c r="IG314" s="10" t="s">
        <v>1</v>
      </c>
      <c r="IH314" s="10" t="s">
        <v>1</v>
      </c>
      <c r="II314" s="10" t="s">
        <v>1</v>
      </c>
      <c r="IJ314" s="10" t="s">
        <v>1</v>
      </c>
      <c r="IK314" s="10" t="s">
        <v>1</v>
      </c>
      <c r="IL314" s="10" t="s">
        <v>1</v>
      </c>
      <c r="IM314" s="10" t="s">
        <v>1</v>
      </c>
      <c r="IN314" s="10" t="s">
        <v>1</v>
      </c>
      <c r="IO314" s="10" t="s">
        <v>1</v>
      </c>
      <c r="IP314" s="10" t="s">
        <v>1</v>
      </c>
      <c r="IQ314" s="10" t="s">
        <v>1</v>
      </c>
      <c r="IR314" s="10" t="s">
        <v>1</v>
      </c>
      <c r="IS314" t="s">
        <v>1</v>
      </c>
      <c r="IT314" t="s">
        <v>1</v>
      </c>
      <c r="IW314" t="s">
        <v>1</v>
      </c>
      <c r="IX314" t="s">
        <v>1</v>
      </c>
      <c r="IY314" t="s">
        <v>1</v>
      </c>
      <c r="IZ314" t="s">
        <v>1</v>
      </c>
      <c r="JA314" t="s">
        <v>1065</v>
      </c>
      <c r="JB314" s="3">
        <v>17</v>
      </c>
      <c r="JC314" t="s">
        <v>1</v>
      </c>
      <c r="JD314" s="4" t="s">
        <v>1</v>
      </c>
      <c r="JE314" t="s">
        <v>1</v>
      </c>
      <c r="JF314" t="s">
        <v>1</v>
      </c>
      <c r="JR314" t="s">
        <v>1066</v>
      </c>
      <c r="JS314">
        <v>85.9</v>
      </c>
      <c r="JU314" t="s">
        <v>1</v>
      </c>
      <c r="JW314" t="s">
        <v>1</v>
      </c>
      <c r="JX314">
        <v>0</v>
      </c>
      <c r="JY314">
        <v>60</v>
      </c>
      <c r="JZ314" t="s">
        <v>802</v>
      </c>
      <c r="KA314" t="s">
        <v>346</v>
      </c>
      <c r="KB314" t="s">
        <v>738</v>
      </c>
      <c r="KC314" t="s">
        <v>1</v>
      </c>
      <c r="KD314" t="s">
        <v>1</v>
      </c>
      <c r="KE314" s="1" t="s">
        <v>1</v>
      </c>
      <c r="KF314" t="s">
        <v>1</v>
      </c>
      <c r="KG314" t="s">
        <v>1</v>
      </c>
      <c r="KH314" t="s">
        <v>1</v>
      </c>
      <c r="KI314" t="s">
        <v>1</v>
      </c>
      <c r="KJ314" t="s">
        <v>1</v>
      </c>
      <c r="KK314" t="s">
        <v>1</v>
      </c>
    </row>
    <row r="315" spans="1:297" x14ac:dyDescent="0.2">
      <c r="A315">
        <v>283</v>
      </c>
      <c r="B315" t="s">
        <v>705</v>
      </c>
      <c r="C315" t="s">
        <v>350</v>
      </c>
      <c r="D315" t="s">
        <v>348</v>
      </c>
      <c r="E315">
        <v>50</v>
      </c>
      <c r="F315" t="s">
        <v>349</v>
      </c>
      <c r="G315" t="s">
        <v>1</v>
      </c>
      <c r="H315" s="26" t="s">
        <v>1420</v>
      </c>
      <c r="I315" t="s">
        <v>1</v>
      </c>
      <c r="J315" t="s">
        <v>1</v>
      </c>
      <c r="K315" t="s">
        <v>1</v>
      </c>
      <c r="L315" t="s">
        <v>1</v>
      </c>
      <c r="M315" t="s">
        <v>1</v>
      </c>
      <c r="N315" t="s">
        <v>1</v>
      </c>
      <c r="O315" t="s">
        <v>1</v>
      </c>
      <c r="P315" t="s">
        <v>1</v>
      </c>
      <c r="Q315" t="s">
        <v>1</v>
      </c>
      <c r="R315" t="s">
        <v>1</v>
      </c>
      <c r="S315" t="s">
        <v>1</v>
      </c>
      <c r="T315" t="s">
        <v>1</v>
      </c>
      <c r="U315" t="s">
        <v>1</v>
      </c>
      <c r="V315" t="s">
        <v>1</v>
      </c>
      <c r="W315" t="s">
        <v>1</v>
      </c>
      <c r="X315" t="s">
        <v>1</v>
      </c>
      <c r="Y315" t="s">
        <v>1</v>
      </c>
      <c r="Z315" t="s">
        <v>1</v>
      </c>
      <c r="AA315" t="s">
        <v>1</v>
      </c>
      <c r="AB315" t="s">
        <v>1</v>
      </c>
      <c r="AC315" t="s">
        <v>1</v>
      </c>
      <c r="AD315" t="s">
        <v>1</v>
      </c>
      <c r="AE315" t="s">
        <v>1</v>
      </c>
      <c r="AF315" t="s">
        <v>1</v>
      </c>
      <c r="AG315" t="s">
        <v>1</v>
      </c>
      <c r="AH315" t="s">
        <v>1</v>
      </c>
      <c r="AI315" t="s">
        <v>1</v>
      </c>
      <c r="AJ315" t="s">
        <v>1</v>
      </c>
      <c r="AK315" t="s">
        <v>1</v>
      </c>
      <c r="AL315" t="s">
        <v>1</v>
      </c>
      <c r="AM315" t="s">
        <v>1</v>
      </c>
      <c r="AN315">
        <v>283</v>
      </c>
      <c r="AO315">
        <f t="shared" si="36"/>
        <v>283</v>
      </c>
      <c r="AP315">
        <f t="shared" si="40"/>
        <v>50</v>
      </c>
      <c r="AQ315">
        <f t="shared" si="41"/>
        <v>50</v>
      </c>
      <c r="AR315" s="26" t="s">
        <v>1355</v>
      </c>
      <c r="AS315" s="26" t="s">
        <v>1356</v>
      </c>
      <c r="AT315" t="s">
        <v>711</v>
      </c>
      <c r="AU315" t="s">
        <v>1</v>
      </c>
      <c r="AV315" t="s">
        <v>1</v>
      </c>
      <c r="AW315">
        <v>37.020000000000003</v>
      </c>
      <c r="AX315">
        <v>-6.12</v>
      </c>
      <c r="AY315" t="s">
        <v>737</v>
      </c>
      <c r="BA315" s="3">
        <v>3</v>
      </c>
      <c r="BB315" s="3"/>
      <c r="BC315" s="3"/>
      <c r="BD315" s="3"/>
      <c r="BE315" s="3"/>
      <c r="BF315">
        <v>2004</v>
      </c>
      <c r="BG315" s="24" t="s">
        <v>733</v>
      </c>
      <c r="BH315" s="24" t="s">
        <v>733</v>
      </c>
      <c r="BI315" s="24" t="s">
        <v>733</v>
      </c>
      <c r="BJ315" s="24" t="s">
        <v>732</v>
      </c>
      <c r="BK315" s="24" t="s">
        <v>733</v>
      </c>
      <c r="BL315" s="25" t="s">
        <v>733</v>
      </c>
      <c r="BM315" s="24" t="s">
        <v>733</v>
      </c>
      <c r="BN315" s="24" t="s">
        <v>732</v>
      </c>
      <c r="BO315" s="24" t="s">
        <v>733</v>
      </c>
      <c r="BP315" s="24" t="s">
        <v>733</v>
      </c>
      <c r="BQ315" s="24" t="s">
        <v>945</v>
      </c>
      <c r="BR315" s="24" t="s">
        <v>945</v>
      </c>
      <c r="BS315" s="25" t="s">
        <v>934</v>
      </c>
      <c r="BT315" s="24" t="s">
        <v>934</v>
      </c>
      <c r="BU315" s="24" t="s">
        <v>934</v>
      </c>
      <c r="BV315" s="24" t="s">
        <v>934</v>
      </c>
      <c r="BW315" s="24" t="s">
        <v>934</v>
      </c>
      <c r="BX315" s="24" t="s">
        <v>934</v>
      </c>
      <c r="BY315" s="25" t="s">
        <v>945</v>
      </c>
      <c r="BZ315" t="s">
        <v>788</v>
      </c>
      <c r="CB315" t="s">
        <v>351</v>
      </c>
      <c r="CC315" s="4" t="s">
        <v>1</v>
      </c>
      <c r="CD315" s="4"/>
      <c r="CE315" s="4"/>
      <c r="CF315" t="s">
        <v>1</v>
      </c>
      <c r="CG315" t="s">
        <v>1</v>
      </c>
      <c r="CH315" t="s">
        <v>805</v>
      </c>
      <c r="CI315" s="28">
        <f>AVERAGE(1,1.2)</f>
        <v>1.1000000000000001</v>
      </c>
      <c r="CJ315" s="10" t="s">
        <v>1442</v>
      </c>
      <c r="CK315" s="9" t="s">
        <v>1</v>
      </c>
      <c r="CL315" s="4" t="s">
        <v>1</v>
      </c>
      <c r="CM315" t="s">
        <v>847</v>
      </c>
      <c r="CN315" s="4">
        <f>AVERAGE(100,354)</f>
        <v>227</v>
      </c>
      <c r="CO315" s="4" t="s">
        <v>1</v>
      </c>
      <c r="CP315" s="4" t="s">
        <v>1</v>
      </c>
      <c r="CQ315" s="4" t="s">
        <v>1</v>
      </c>
      <c r="CR315" s="4" t="s">
        <v>1</v>
      </c>
      <c r="CS315" s="4" t="s">
        <v>1</v>
      </c>
      <c r="CT315" s="4" t="s">
        <v>1</v>
      </c>
      <c r="CU315" s="4" t="s">
        <v>1</v>
      </c>
      <c r="CV315" t="s">
        <v>857</v>
      </c>
      <c r="CW315">
        <v>100</v>
      </c>
      <c r="CX315">
        <v>0</v>
      </c>
      <c r="CY315">
        <v>30</v>
      </c>
      <c r="CZ315" s="26" t="s">
        <v>1358</v>
      </c>
      <c r="DA315" t="s">
        <v>734</v>
      </c>
      <c r="DB315">
        <v>9.4</v>
      </c>
      <c r="DC315">
        <v>0</v>
      </c>
      <c r="DD315">
        <v>30</v>
      </c>
      <c r="DE315" s="26" t="s">
        <v>1358</v>
      </c>
      <c r="DF315" t="s">
        <v>735</v>
      </c>
      <c r="DG315">
        <v>40.9</v>
      </c>
      <c r="DH315">
        <v>0</v>
      </c>
      <c r="DI315">
        <v>30</v>
      </c>
      <c r="DJ315" s="26" t="s">
        <v>1358</v>
      </c>
      <c r="DK315" t="s">
        <v>736</v>
      </c>
      <c r="DL315">
        <v>49.6</v>
      </c>
      <c r="DM315">
        <v>0</v>
      </c>
      <c r="DN315">
        <v>30</v>
      </c>
      <c r="DO315" s="26" t="s">
        <v>1358</v>
      </c>
      <c r="DP315" t="s">
        <v>6</v>
      </c>
      <c r="DQ315" t="s">
        <v>813</v>
      </c>
      <c r="DR315">
        <v>8.5</v>
      </c>
      <c r="DS315">
        <v>0</v>
      </c>
      <c r="DT315">
        <v>30</v>
      </c>
      <c r="DU315" s="26" t="s">
        <v>1358</v>
      </c>
      <c r="EA315" t="s">
        <v>982</v>
      </c>
      <c r="EB315">
        <v>8.1999999999999993</v>
      </c>
      <c r="EC315">
        <v>0</v>
      </c>
      <c r="ED315">
        <v>30</v>
      </c>
      <c r="EE315" s="26" t="s">
        <v>1358</v>
      </c>
      <c r="EF315" s="26"/>
      <c r="FZ315" t="s">
        <v>806</v>
      </c>
      <c r="GA315">
        <v>283.5</v>
      </c>
      <c r="GE315" s="26" t="s">
        <v>1358</v>
      </c>
      <c r="HA315" s="5" t="s">
        <v>1</v>
      </c>
      <c r="HB315" s="4" t="s">
        <v>1</v>
      </c>
      <c r="HC315" t="s">
        <v>1</v>
      </c>
      <c r="HD315" t="s">
        <v>1</v>
      </c>
      <c r="HE315" t="s">
        <v>1</v>
      </c>
      <c r="HF315" s="5" t="s">
        <v>1063</v>
      </c>
      <c r="HG315" s="4">
        <v>0.94</v>
      </c>
      <c r="HH315">
        <v>0</v>
      </c>
      <c r="HI315">
        <v>30</v>
      </c>
      <c r="HJ315" s="26" t="s">
        <v>1358</v>
      </c>
      <c r="HK315" t="s">
        <v>1</v>
      </c>
      <c r="HL315" t="s">
        <v>1</v>
      </c>
      <c r="HM315" t="s">
        <v>1</v>
      </c>
      <c r="HN315" t="s">
        <v>1</v>
      </c>
      <c r="HO315" t="s">
        <v>1</v>
      </c>
      <c r="HP315" t="s">
        <v>1</v>
      </c>
      <c r="HZ315" t="s">
        <v>1295</v>
      </c>
      <c r="IA315">
        <v>231</v>
      </c>
      <c r="IB315" s="10" t="s">
        <v>828</v>
      </c>
      <c r="IC315" s="10"/>
      <c r="ID315" s="10"/>
      <c r="IE315" s="10" t="s">
        <v>1</v>
      </c>
      <c r="IF315" s="10" t="s">
        <v>1</v>
      </c>
      <c r="IG315" s="10"/>
      <c r="IH315" s="10"/>
      <c r="II315" s="10"/>
      <c r="IJ315" s="10"/>
      <c r="IK315" s="10"/>
      <c r="IL315" s="10"/>
      <c r="IM315" s="10"/>
      <c r="IN315" s="10"/>
      <c r="IO315" s="10"/>
      <c r="IP315" s="10"/>
      <c r="IQ315" s="10"/>
      <c r="IR315" s="10"/>
      <c r="IS315" t="s">
        <v>1</v>
      </c>
      <c r="IT315" t="s">
        <v>1</v>
      </c>
      <c r="IW315" t="s">
        <v>1</v>
      </c>
      <c r="IX315" t="s">
        <v>1</v>
      </c>
      <c r="IY315" t="s">
        <v>808</v>
      </c>
      <c r="IZ315">
        <v>7475</v>
      </c>
      <c r="JA315" t="s">
        <v>1</v>
      </c>
      <c r="JB315" s="4" t="s">
        <v>1</v>
      </c>
      <c r="JC315" t="s">
        <v>1</v>
      </c>
      <c r="JD315" s="4" t="s">
        <v>1</v>
      </c>
      <c r="JE315" t="s">
        <v>1</v>
      </c>
      <c r="JF315" t="s">
        <v>1</v>
      </c>
      <c r="JR315" t="s">
        <v>1066</v>
      </c>
      <c r="JS315">
        <v>68.400000000000006</v>
      </c>
      <c r="JU315" t="s">
        <v>1</v>
      </c>
      <c r="JW315" t="s">
        <v>1</v>
      </c>
      <c r="JX315">
        <v>0</v>
      </c>
      <c r="JY315">
        <v>100</v>
      </c>
      <c r="JZ315" t="s">
        <v>797</v>
      </c>
      <c r="KA315" t="s">
        <v>147</v>
      </c>
      <c r="KB315" t="s">
        <v>738</v>
      </c>
      <c r="KC315" t="s">
        <v>1</v>
      </c>
      <c r="KD315" t="s">
        <v>1</v>
      </c>
      <c r="KE315" s="1" t="s">
        <v>1</v>
      </c>
      <c r="KF315" t="s">
        <v>1</v>
      </c>
      <c r="KG315" t="s">
        <v>1</v>
      </c>
      <c r="KH315" t="s">
        <v>1</v>
      </c>
      <c r="KI315" t="s">
        <v>1</v>
      </c>
      <c r="KJ315" t="s">
        <v>1</v>
      </c>
      <c r="KK315" t="s">
        <v>1</v>
      </c>
    </row>
    <row r="316" spans="1:297" x14ac:dyDescent="0.2">
      <c r="A316">
        <v>284</v>
      </c>
      <c r="B316" t="s">
        <v>705</v>
      </c>
      <c r="C316" t="s">
        <v>352</v>
      </c>
      <c r="D316" t="s">
        <v>348</v>
      </c>
      <c r="E316">
        <v>50</v>
      </c>
      <c r="F316" t="s">
        <v>349</v>
      </c>
      <c r="G316" t="s">
        <v>1</v>
      </c>
      <c r="H316" s="26" t="s">
        <v>1420</v>
      </c>
      <c r="I316" t="s">
        <v>1</v>
      </c>
      <c r="J316" t="s">
        <v>1</v>
      </c>
      <c r="K316" t="s">
        <v>1</v>
      </c>
      <c r="L316" t="s">
        <v>1</v>
      </c>
      <c r="M316" t="s">
        <v>1</v>
      </c>
      <c r="N316" t="s">
        <v>1</v>
      </c>
      <c r="O316" t="s">
        <v>1</v>
      </c>
      <c r="P316" t="s">
        <v>1</v>
      </c>
      <c r="Q316" t="s">
        <v>1</v>
      </c>
      <c r="R316" t="s">
        <v>1</v>
      </c>
      <c r="S316" t="s">
        <v>1</v>
      </c>
      <c r="T316" t="s">
        <v>1</v>
      </c>
      <c r="U316" t="s">
        <v>1</v>
      </c>
      <c r="V316" t="s">
        <v>1</v>
      </c>
      <c r="W316" t="s">
        <v>1</v>
      </c>
      <c r="X316" t="s">
        <v>1</v>
      </c>
      <c r="Y316" t="s">
        <v>1</v>
      </c>
      <c r="Z316" t="s">
        <v>1</v>
      </c>
      <c r="AA316" t="s">
        <v>1</v>
      </c>
      <c r="AB316" t="s">
        <v>1</v>
      </c>
      <c r="AC316" t="s">
        <v>1</v>
      </c>
      <c r="AD316" t="s">
        <v>1</v>
      </c>
      <c r="AE316" t="s">
        <v>1</v>
      </c>
      <c r="AF316" t="s">
        <v>1</v>
      </c>
      <c r="AG316" t="s">
        <v>1</v>
      </c>
      <c r="AH316" t="s">
        <v>1</v>
      </c>
      <c r="AI316" t="s">
        <v>1</v>
      </c>
      <c r="AJ316" t="s">
        <v>1</v>
      </c>
      <c r="AK316" t="s">
        <v>1</v>
      </c>
      <c r="AL316" t="s">
        <v>1</v>
      </c>
      <c r="AM316" t="s">
        <v>1</v>
      </c>
      <c r="AN316">
        <v>284</v>
      </c>
      <c r="AO316">
        <f t="shared" ref="AO316:AO379" si="45">AN316</f>
        <v>284</v>
      </c>
      <c r="AP316">
        <f t="shared" si="40"/>
        <v>50</v>
      </c>
      <c r="AQ316">
        <f t="shared" si="41"/>
        <v>50</v>
      </c>
      <c r="AR316" s="26" t="s">
        <v>1355</v>
      </c>
      <c r="AS316" s="26" t="s">
        <v>1356</v>
      </c>
      <c r="AT316" t="s">
        <v>711</v>
      </c>
      <c r="AU316" t="s">
        <v>1</v>
      </c>
      <c r="AV316" t="s">
        <v>1</v>
      </c>
      <c r="AW316">
        <v>37.020000000000003</v>
      </c>
      <c r="AX316">
        <v>-6.12</v>
      </c>
      <c r="AY316" t="s">
        <v>737</v>
      </c>
      <c r="BA316" s="3">
        <v>3</v>
      </c>
      <c r="BB316" s="3"/>
      <c r="BC316" s="3"/>
      <c r="BD316" s="3"/>
      <c r="BE316" s="3"/>
      <c r="BF316">
        <v>2004</v>
      </c>
      <c r="BG316" s="24" t="s">
        <v>733</v>
      </c>
      <c r="BH316" s="24" t="s">
        <v>733</v>
      </c>
      <c r="BI316" s="24" t="s">
        <v>733</v>
      </c>
      <c r="BJ316" s="24" t="s">
        <v>732</v>
      </c>
      <c r="BK316" s="24" t="s">
        <v>733</v>
      </c>
      <c r="BL316" s="25" t="s">
        <v>733</v>
      </c>
      <c r="BM316" s="24" t="s">
        <v>733</v>
      </c>
      <c r="BN316" s="24" t="s">
        <v>732</v>
      </c>
      <c r="BO316" s="24" t="s">
        <v>733</v>
      </c>
      <c r="BP316" s="24" t="s">
        <v>733</v>
      </c>
      <c r="BQ316" s="24" t="s">
        <v>945</v>
      </c>
      <c r="BR316" s="24" t="s">
        <v>945</v>
      </c>
      <c r="BS316" s="25" t="s">
        <v>934</v>
      </c>
      <c r="BT316" s="24" t="s">
        <v>934</v>
      </c>
      <c r="BU316" s="24" t="s">
        <v>934</v>
      </c>
      <c r="BV316" s="24" t="s">
        <v>934</v>
      </c>
      <c r="BW316" s="24" t="s">
        <v>934</v>
      </c>
      <c r="BX316" s="24" t="s">
        <v>934</v>
      </c>
      <c r="BY316" s="25" t="s">
        <v>945</v>
      </c>
      <c r="BZ316" t="s">
        <v>788</v>
      </c>
      <c r="CB316" t="s">
        <v>351</v>
      </c>
      <c r="CC316" s="4" t="s">
        <v>1</v>
      </c>
      <c r="CD316" s="4"/>
      <c r="CE316" s="4"/>
      <c r="CF316" t="s">
        <v>1</v>
      </c>
      <c r="CG316" t="s">
        <v>1</v>
      </c>
      <c r="CH316" t="s">
        <v>805</v>
      </c>
      <c r="CI316" s="28">
        <f>AVERAGE(1,1.2)</f>
        <v>1.1000000000000001</v>
      </c>
      <c r="CJ316" s="10" t="s">
        <v>1442</v>
      </c>
      <c r="CK316" s="9" t="s">
        <v>1</v>
      </c>
      <c r="CL316" s="4" t="s">
        <v>1</v>
      </c>
      <c r="CM316" t="s">
        <v>847</v>
      </c>
      <c r="CN316" s="4">
        <f>AVERAGE(103,411)</f>
        <v>257</v>
      </c>
      <c r="CO316" s="4" t="s">
        <v>1</v>
      </c>
      <c r="CP316" s="4" t="s">
        <v>1</v>
      </c>
      <c r="CQ316" s="4" t="s">
        <v>1</v>
      </c>
      <c r="CR316" s="4" t="s">
        <v>1</v>
      </c>
      <c r="CS316" s="4" t="s">
        <v>1</v>
      </c>
      <c r="CT316" s="4" t="s">
        <v>1</v>
      </c>
      <c r="CU316" s="4" t="s">
        <v>1</v>
      </c>
      <c r="CV316" t="s">
        <v>857</v>
      </c>
      <c r="CW316">
        <v>100</v>
      </c>
      <c r="CX316">
        <v>0</v>
      </c>
      <c r="CY316">
        <v>30</v>
      </c>
      <c r="CZ316" s="26" t="s">
        <v>1358</v>
      </c>
      <c r="DA316" t="s">
        <v>734</v>
      </c>
      <c r="DB316">
        <v>9.4</v>
      </c>
      <c r="DC316">
        <v>0</v>
      </c>
      <c r="DD316">
        <v>30</v>
      </c>
      <c r="DE316" s="26" t="s">
        <v>1358</v>
      </c>
      <c r="DF316" t="s">
        <v>735</v>
      </c>
      <c r="DG316">
        <v>40.9</v>
      </c>
      <c r="DH316">
        <v>0</v>
      </c>
      <c r="DI316">
        <v>30</v>
      </c>
      <c r="DJ316" s="26" t="s">
        <v>1358</v>
      </c>
      <c r="DK316" t="s">
        <v>736</v>
      </c>
      <c r="DL316">
        <v>49.6</v>
      </c>
      <c r="DM316">
        <v>0</v>
      </c>
      <c r="DN316">
        <v>30</v>
      </c>
      <c r="DO316" s="26" t="s">
        <v>1358</v>
      </c>
      <c r="DP316" t="s">
        <v>6</v>
      </c>
      <c r="DQ316" t="s">
        <v>813</v>
      </c>
      <c r="DR316">
        <v>8.5</v>
      </c>
      <c r="DS316">
        <v>0</v>
      </c>
      <c r="DT316">
        <v>30</v>
      </c>
      <c r="DU316" s="26" t="s">
        <v>1358</v>
      </c>
      <c r="EA316" t="s">
        <v>982</v>
      </c>
      <c r="EB316">
        <v>8.1999999999999993</v>
      </c>
      <c r="EC316">
        <v>0</v>
      </c>
      <c r="ED316">
        <v>30</v>
      </c>
      <c r="EE316" s="26" t="s">
        <v>1358</v>
      </c>
      <c r="EF316" s="26"/>
      <c r="FZ316" t="s">
        <v>806</v>
      </c>
      <c r="GA316">
        <v>283.5</v>
      </c>
      <c r="GE316" s="26" t="s">
        <v>1358</v>
      </c>
      <c r="HA316" s="5" t="s">
        <v>1</v>
      </c>
      <c r="HB316" s="4" t="s">
        <v>1</v>
      </c>
      <c r="HC316" t="s">
        <v>1</v>
      </c>
      <c r="HD316" t="s">
        <v>1</v>
      </c>
      <c r="HE316" t="s">
        <v>1</v>
      </c>
      <c r="HF316" s="5" t="s">
        <v>1063</v>
      </c>
      <c r="HG316" s="4">
        <v>0.94</v>
      </c>
      <c r="HH316">
        <v>0</v>
      </c>
      <c r="HI316">
        <v>30</v>
      </c>
      <c r="HJ316" s="26" t="s">
        <v>1358</v>
      </c>
      <c r="HK316" t="s">
        <v>1</v>
      </c>
      <c r="HL316" t="s">
        <v>1</v>
      </c>
      <c r="HM316" t="s">
        <v>1</v>
      </c>
      <c r="HN316" t="s">
        <v>1</v>
      </c>
      <c r="HO316" t="s">
        <v>1</v>
      </c>
      <c r="HP316" t="s">
        <v>1</v>
      </c>
      <c r="HZ316" t="s">
        <v>1295</v>
      </c>
      <c r="IA316">
        <v>231</v>
      </c>
      <c r="IB316" s="10" t="s">
        <v>828</v>
      </c>
      <c r="IC316" s="10"/>
      <c r="ID316" s="10"/>
      <c r="IE316" s="10" t="s">
        <v>1</v>
      </c>
      <c r="IF316" s="10" t="s">
        <v>1</v>
      </c>
      <c r="IG316" s="10"/>
      <c r="IH316" s="10"/>
      <c r="II316" s="10"/>
      <c r="IJ316" s="10"/>
      <c r="IK316" s="10"/>
      <c r="IL316" s="10"/>
      <c r="IM316" s="10"/>
      <c r="IN316" s="10"/>
      <c r="IO316" s="10"/>
      <c r="IP316" s="10"/>
      <c r="IQ316" s="10"/>
      <c r="IR316" s="10"/>
      <c r="IS316" t="s">
        <v>978</v>
      </c>
      <c r="IT316">
        <v>125</v>
      </c>
      <c r="IW316" t="s">
        <v>1</v>
      </c>
      <c r="IX316" t="s">
        <v>1</v>
      </c>
      <c r="IY316" t="s">
        <v>808</v>
      </c>
      <c r="IZ316">
        <v>7475</v>
      </c>
      <c r="JA316" t="s">
        <v>1</v>
      </c>
      <c r="JB316" s="4" t="s">
        <v>1</v>
      </c>
      <c r="JC316" t="s">
        <v>1</v>
      </c>
      <c r="JD316" s="4" t="s">
        <v>1</v>
      </c>
      <c r="JE316" t="s">
        <v>1</v>
      </c>
      <c r="JF316" t="s">
        <v>1</v>
      </c>
      <c r="JR316" t="s">
        <v>1066</v>
      </c>
      <c r="JS316">
        <v>61.3</v>
      </c>
      <c r="JU316" t="s">
        <v>1</v>
      </c>
      <c r="JW316" t="s">
        <v>1</v>
      </c>
      <c r="JX316">
        <v>0</v>
      </c>
      <c r="JY316">
        <v>100</v>
      </c>
      <c r="JZ316" t="s">
        <v>797</v>
      </c>
      <c r="KA316" t="s">
        <v>147</v>
      </c>
      <c r="KB316" t="s">
        <v>738</v>
      </c>
      <c r="KC316" t="s">
        <v>1</v>
      </c>
      <c r="KD316" t="s">
        <v>1</v>
      </c>
      <c r="KE316" s="1" t="s">
        <v>1</v>
      </c>
      <c r="KF316" t="s">
        <v>1</v>
      </c>
      <c r="KG316" t="s">
        <v>1</v>
      </c>
      <c r="KH316" t="s">
        <v>1</v>
      </c>
      <c r="KI316" t="s">
        <v>1</v>
      </c>
      <c r="KJ316" t="s">
        <v>1</v>
      </c>
      <c r="KK316" t="s">
        <v>1</v>
      </c>
    </row>
    <row r="317" spans="1:297" x14ac:dyDescent="0.2">
      <c r="A317">
        <v>285</v>
      </c>
      <c r="B317" t="s">
        <v>705</v>
      </c>
      <c r="C317" t="s">
        <v>353</v>
      </c>
      <c r="D317" t="s">
        <v>348</v>
      </c>
      <c r="E317">
        <v>50</v>
      </c>
      <c r="F317" t="s">
        <v>349</v>
      </c>
      <c r="G317" t="s">
        <v>1</v>
      </c>
      <c r="H317" s="26" t="s">
        <v>1420</v>
      </c>
      <c r="I317" t="s">
        <v>1</v>
      </c>
      <c r="J317" t="s">
        <v>1</v>
      </c>
      <c r="K317" t="s">
        <v>1</v>
      </c>
      <c r="L317" t="s">
        <v>1</v>
      </c>
      <c r="M317" t="s">
        <v>1</v>
      </c>
      <c r="N317" t="s">
        <v>1</v>
      </c>
      <c r="O317" t="s">
        <v>1</v>
      </c>
      <c r="P317" t="s">
        <v>1</v>
      </c>
      <c r="Q317" t="s">
        <v>1</v>
      </c>
      <c r="R317" t="s">
        <v>1</v>
      </c>
      <c r="S317" t="s">
        <v>1</v>
      </c>
      <c r="T317" t="s">
        <v>1</v>
      </c>
      <c r="U317" t="s">
        <v>1</v>
      </c>
      <c r="V317" t="s">
        <v>1</v>
      </c>
      <c r="W317" t="s">
        <v>1</v>
      </c>
      <c r="X317" t="s">
        <v>1</v>
      </c>
      <c r="Y317" t="s">
        <v>1</v>
      </c>
      <c r="Z317" t="s">
        <v>1</v>
      </c>
      <c r="AA317" t="s">
        <v>1</v>
      </c>
      <c r="AB317" t="s">
        <v>1</v>
      </c>
      <c r="AC317" t="s">
        <v>1</v>
      </c>
      <c r="AD317" t="s">
        <v>1</v>
      </c>
      <c r="AE317" t="s">
        <v>1</v>
      </c>
      <c r="AF317" t="s">
        <v>1</v>
      </c>
      <c r="AG317" t="s">
        <v>1</v>
      </c>
      <c r="AH317" t="s">
        <v>1</v>
      </c>
      <c r="AI317" t="s">
        <v>1</v>
      </c>
      <c r="AJ317" t="s">
        <v>1</v>
      </c>
      <c r="AK317" t="s">
        <v>1</v>
      </c>
      <c r="AL317" t="s">
        <v>1</v>
      </c>
      <c r="AM317" t="s">
        <v>1</v>
      </c>
      <c r="AN317">
        <v>285</v>
      </c>
      <c r="AO317">
        <f t="shared" si="45"/>
        <v>285</v>
      </c>
      <c r="AP317">
        <f t="shared" si="40"/>
        <v>50</v>
      </c>
      <c r="AQ317">
        <f t="shared" si="41"/>
        <v>50</v>
      </c>
      <c r="AR317" s="26" t="s">
        <v>1355</v>
      </c>
      <c r="AS317" s="26" t="s">
        <v>1356</v>
      </c>
      <c r="AT317" t="s">
        <v>711</v>
      </c>
      <c r="AU317" t="s">
        <v>1</v>
      </c>
      <c r="AV317" t="s">
        <v>1</v>
      </c>
      <c r="AW317">
        <v>37.020000000000003</v>
      </c>
      <c r="AX317">
        <v>-6.12</v>
      </c>
      <c r="AY317" t="s">
        <v>737</v>
      </c>
      <c r="BA317" s="3">
        <v>3</v>
      </c>
      <c r="BB317" s="3"/>
      <c r="BC317" s="3"/>
      <c r="BD317" s="3"/>
      <c r="BE317" s="3"/>
      <c r="BF317">
        <v>2004</v>
      </c>
      <c r="BG317" s="24" t="s">
        <v>733</v>
      </c>
      <c r="BH317" s="24" t="s">
        <v>733</v>
      </c>
      <c r="BI317" s="24" t="s">
        <v>733</v>
      </c>
      <c r="BJ317" s="24" t="s">
        <v>732</v>
      </c>
      <c r="BK317" s="24" t="s">
        <v>733</v>
      </c>
      <c r="BL317" s="25" t="s">
        <v>733</v>
      </c>
      <c r="BM317" s="24" t="s">
        <v>733</v>
      </c>
      <c r="BN317" s="24" t="s">
        <v>732</v>
      </c>
      <c r="BO317" s="24" t="s">
        <v>733</v>
      </c>
      <c r="BP317" s="24" t="s">
        <v>733</v>
      </c>
      <c r="BQ317" s="24" t="s">
        <v>945</v>
      </c>
      <c r="BR317" s="24" t="s">
        <v>945</v>
      </c>
      <c r="BS317" s="25" t="s">
        <v>934</v>
      </c>
      <c r="BT317" s="24" t="s">
        <v>934</v>
      </c>
      <c r="BU317" s="24" t="s">
        <v>934</v>
      </c>
      <c r="BV317" s="24" t="s">
        <v>934</v>
      </c>
      <c r="BW317" s="24" t="s">
        <v>934</v>
      </c>
      <c r="BX317" s="24" t="s">
        <v>934</v>
      </c>
      <c r="BY317" s="25" t="s">
        <v>945</v>
      </c>
      <c r="BZ317" t="s">
        <v>788</v>
      </c>
      <c r="CB317" t="s">
        <v>351</v>
      </c>
      <c r="CC317" s="4" t="s">
        <v>1</v>
      </c>
      <c r="CD317" s="4"/>
      <c r="CE317" s="4"/>
      <c r="CF317" t="s">
        <v>1</v>
      </c>
      <c r="CG317" t="s">
        <v>1</v>
      </c>
      <c r="CH317" t="s">
        <v>805</v>
      </c>
      <c r="CI317" s="28">
        <f>AVERAGE(1,1.2)</f>
        <v>1.1000000000000001</v>
      </c>
      <c r="CJ317" s="10" t="s">
        <v>1442</v>
      </c>
      <c r="CK317" s="9" t="s">
        <v>1</v>
      </c>
      <c r="CL317" s="4" t="s">
        <v>1</v>
      </c>
      <c r="CM317" t="s">
        <v>847</v>
      </c>
      <c r="CN317" s="4">
        <f>AVERAGE(61,378)</f>
        <v>219.5</v>
      </c>
      <c r="CO317" s="4" t="s">
        <v>1</v>
      </c>
      <c r="CP317" s="4" t="s">
        <v>1</v>
      </c>
      <c r="CQ317" s="4" t="s">
        <v>1</v>
      </c>
      <c r="CR317" s="4" t="s">
        <v>1</v>
      </c>
      <c r="CS317" s="4" t="s">
        <v>1</v>
      </c>
      <c r="CT317" s="4" t="s">
        <v>1</v>
      </c>
      <c r="CU317" s="4" t="s">
        <v>1</v>
      </c>
      <c r="CV317" t="s">
        <v>857</v>
      </c>
      <c r="CW317">
        <v>100</v>
      </c>
      <c r="CX317">
        <v>0</v>
      </c>
      <c r="CY317">
        <v>30</v>
      </c>
      <c r="CZ317" s="26" t="s">
        <v>1358</v>
      </c>
      <c r="DA317" t="s">
        <v>734</v>
      </c>
      <c r="DB317">
        <v>9.4</v>
      </c>
      <c r="DC317">
        <v>0</v>
      </c>
      <c r="DD317">
        <v>30</v>
      </c>
      <c r="DE317" s="26" t="s">
        <v>1358</v>
      </c>
      <c r="DF317" t="s">
        <v>735</v>
      </c>
      <c r="DG317">
        <v>40.9</v>
      </c>
      <c r="DH317">
        <v>0</v>
      </c>
      <c r="DI317">
        <v>30</v>
      </c>
      <c r="DJ317" s="26" t="s">
        <v>1358</v>
      </c>
      <c r="DK317" t="s">
        <v>736</v>
      </c>
      <c r="DL317">
        <v>49.6</v>
      </c>
      <c r="DM317">
        <v>0</v>
      </c>
      <c r="DN317">
        <v>30</v>
      </c>
      <c r="DO317" s="26" t="s">
        <v>1358</v>
      </c>
      <c r="DP317" t="s">
        <v>6</v>
      </c>
      <c r="DQ317" t="s">
        <v>813</v>
      </c>
      <c r="DR317">
        <v>8.5</v>
      </c>
      <c r="DS317">
        <v>0</v>
      </c>
      <c r="DT317">
        <v>30</v>
      </c>
      <c r="DU317" s="26" t="s">
        <v>1358</v>
      </c>
      <c r="EA317" t="s">
        <v>982</v>
      </c>
      <c r="EB317">
        <v>8.1999999999999993</v>
      </c>
      <c r="EC317">
        <v>0</v>
      </c>
      <c r="ED317">
        <v>30</v>
      </c>
      <c r="EE317" s="26" t="s">
        <v>1358</v>
      </c>
      <c r="EF317" s="26"/>
      <c r="FZ317" t="s">
        <v>806</v>
      </c>
      <c r="GA317">
        <v>283.5</v>
      </c>
      <c r="GE317" s="26" t="s">
        <v>1358</v>
      </c>
      <c r="HA317" s="5" t="s">
        <v>1</v>
      </c>
      <c r="HB317" s="4" t="s">
        <v>1</v>
      </c>
      <c r="HC317" t="s">
        <v>1</v>
      </c>
      <c r="HD317" t="s">
        <v>1</v>
      </c>
      <c r="HE317" t="s">
        <v>1</v>
      </c>
      <c r="HF317" s="5" t="s">
        <v>1063</v>
      </c>
      <c r="HG317" s="4">
        <v>0.94</v>
      </c>
      <c r="HH317">
        <v>0</v>
      </c>
      <c r="HI317">
        <v>30</v>
      </c>
      <c r="HJ317" s="26" t="s">
        <v>1358</v>
      </c>
      <c r="HK317" t="s">
        <v>1</v>
      </c>
      <c r="HL317" t="s">
        <v>1</v>
      </c>
      <c r="HM317" t="s">
        <v>1</v>
      </c>
      <c r="HN317" t="s">
        <v>1</v>
      </c>
      <c r="HO317" t="s">
        <v>1</v>
      </c>
      <c r="HP317" t="s">
        <v>1</v>
      </c>
      <c r="HZ317" t="s">
        <v>1295</v>
      </c>
      <c r="IA317">
        <v>231</v>
      </c>
      <c r="IB317" s="10" t="s">
        <v>828</v>
      </c>
      <c r="IC317" s="10"/>
      <c r="ID317" s="10"/>
      <c r="IE317" s="10" t="s">
        <v>1</v>
      </c>
      <c r="IF317" s="10" t="s">
        <v>1</v>
      </c>
      <c r="IG317" s="10"/>
      <c r="IH317" s="10"/>
      <c r="II317" s="10"/>
      <c r="IJ317" s="10"/>
      <c r="IK317" s="10"/>
      <c r="IL317" s="10"/>
      <c r="IM317" s="10"/>
      <c r="IN317" s="10"/>
      <c r="IO317" s="10"/>
      <c r="IP317" s="10"/>
      <c r="IQ317" s="10"/>
      <c r="IR317" s="10"/>
      <c r="IS317" t="s">
        <v>1</v>
      </c>
      <c r="IT317" t="s">
        <v>1</v>
      </c>
      <c r="IW317" t="s">
        <v>1</v>
      </c>
      <c r="IX317" t="s">
        <v>1</v>
      </c>
      <c r="IY317" t="s">
        <v>808</v>
      </c>
      <c r="IZ317">
        <v>7475</v>
      </c>
      <c r="JA317" t="s">
        <v>1</v>
      </c>
      <c r="JB317" s="4" t="s">
        <v>1</v>
      </c>
      <c r="JC317" t="s">
        <v>1</v>
      </c>
      <c r="JD317" s="4" t="s">
        <v>1</v>
      </c>
      <c r="JE317" t="s">
        <v>1</v>
      </c>
      <c r="JF317" t="s">
        <v>1</v>
      </c>
      <c r="JR317" t="s">
        <v>1066</v>
      </c>
      <c r="JS317">
        <v>54</v>
      </c>
      <c r="JU317" t="s">
        <v>1</v>
      </c>
      <c r="JW317" t="s">
        <v>1</v>
      </c>
      <c r="JX317">
        <v>0</v>
      </c>
      <c r="JY317">
        <v>100</v>
      </c>
      <c r="JZ317" t="s">
        <v>797</v>
      </c>
      <c r="KA317" t="s">
        <v>147</v>
      </c>
      <c r="KB317" t="s">
        <v>738</v>
      </c>
      <c r="KC317" t="s">
        <v>1</v>
      </c>
      <c r="KD317" t="s">
        <v>1</v>
      </c>
      <c r="KE317" s="1" t="s">
        <v>1</v>
      </c>
      <c r="KF317" t="s">
        <v>1</v>
      </c>
      <c r="KG317" t="s">
        <v>1</v>
      </c>
      <c r="KH317" t="s">
        <v>1</v>
      </c>
      <c r="KI317" t="s">
        <v>1</v>
      </c>
      <c r="KJ317" t="s">
        <v>1</v>
      </c>
      <c r="KK317" t="s">
        <v>1</v>
      </c>
    </row>
    <row r="318" spans="1:297" x14ac:dyDescent="0.2">
      <c r="A318">
        <v>286</v>
      </c>
      <c r="B318" t="s">
        <v>705</v>
      </c>
      <c r="C318" t="s">
        <v>356</v>
      </c>
      <c r="D318" t="s">
        <v>354</v>
      </c>
      <c r="E318">
        <v>51</v>
      </c>
      <c r="F318" t="s">
        <v>355</v>
      </c>
      <c r="G318" t="s">
        <v>1</v>
      </c>
      <c r="H318" s="26" t="s">
        <v>1420</v>
      </c>
      <c r="I318" t="s">
        <v>1</v>
      </c>
      <c r="J318" t="s">
        <v>1</v>
      </c>
      <c r="K318" t="s">
        <v>1</v>
      </c>
      <c r="L318" t="s">
        <v>1</v>
      </c>
      <c r="M318" t="s">
        <v>1</v>
      </c>
      <c r="N318" t="s">
        <v>1</v>
      </c>
      <c r="O318" t="s">
        <v>1</v>
      </c>
      <c r="P318" t="s">
        <v>1</v>
      </c>
      <c r="Q318" t="s">
        <v>1</v>
      </c>
      <c r="R318" t="s">
        <v>1</v>
      </c>
      <c r="S318" t="s">
        <v>1</v>
      </c>
      <c r="T318" t="s">
        <v>1</v>
      </c>
      <c r="U318" t="s">
        <v>1</v>
      </c>
      <c r="V318" t="s">
        <v>1</v>
      </c>
      <c r="W318" t="s">
        <v>1</v>
      </c>
      <c r="X318" t="s">
        <v>1</v>
      </c>
      <c r="Y318" t="s">
        <v>1</v>
      </c>
      <c r="Z318" t="s">
        <v>1</v>
      </c>
      <c r="AA318" t="s">
        <v>1</v>
      </c>
      <c r="AB318" t="s">
        <v>1</v>
      </c>
      <c r="AC318" t="s">
        <v>1</v>
      </c>
      <c r="AD318" t="s">
        <v>1</v>
      </c>
      <c r="AE318" t="s">
        <v>1</v>
      </c>
      <c r="AF318" t="s">
        <v>1</v>
      </c>
      <c r="AG318" t="s">
        <v>1</v>
      </c>
      <c r="AH318" t="s">
        <v>1</v>
      </c>
      <c r="AI318" t="s">
        <v>1</v>
      </c>
      <c r="AJ318" t="s">
        <v>1</v>
      </c>
      <c r="AK318" t="s">
        <v>1</v>
      </c>
      <c r="AL318" t="s">
        <v>1</v>
      </c>
      <c r="AM318" t="s">
        <v>1</v>
      </c>
      <c r="AN318">
        <v>286</v>
      </c>
      <c r="AO318">
        <f t="shared" si="45"/>
        <v>286</v>
      </c>
      <c r="AP318">
        <f t="shared" si="40"/>
        <v>51</v>
      </c>
      <c r="AQ318">
        <f t="shared" si="41"/>
        <v>51</v>
      </c>
      <c r="AR318" s="26" t="s">
        <v>1355</v>
      </c>
      <c r="AS318" s="26" t="s">
        <v>1356</v>
      </c>
      <c r="AT318" t="s">
        <v>726</v>
      </c>
      <c r="AU318" t="s">
        <v>1</v>
      </c>
      <c r="AV318" t="s">
        <v>1</v>
      </c>
      <c r="AW318">
        <v>46.04</v>
      </c>
      <c r="AX318">
        <v>13.22</v>
      </c>
      <c r="AY318" t="s">
        <v>737</v>
      </c>
      <c r="BA318" s="3">
        <v>2</v>
      </c>
      <c r="BB318" s="3"/>
      <c r="BC318" s="3"/>
      <c r="BD318" s="3"/>
      <c r="BE318" s="3"/>
      <c r="BF318">
        <v>1990</v>
      </c>
      <c r="BG318" s="24" t="s">
        <v>733</v>
      </c>
      <c r="BH318" s="24" t="s">
        <v>733</v>
      </c>
      <c r="BI318" s="24" t="s">
        <v>733</v>
      </c>
      <c r="BJ318" s="24" t="s">
        <v>732</v>
      </c>
      <c r="BK318" s="24" t="s">
        <v>733</v>
      </c>
      <c r="BL318" s="25" t="s">
        <v>733</v>
      </c>
      <c r="BM318" s="24" t="s">
        <v>733</v>
      </c>
      <c r="BN318" s="24" t="s">
        <v>732</v>
      </c>
      <c r="BO318" s="24" t="s">
        <v>733</v>
      </c>
      <c r="BP318" s="24" t="s">
        <v>733</v>
      </c>
      <c r="BQ318" s="24" t="s">
        <v>945</v>
      </c>
      <c r="BR318" s="24" t="s">
        <v>945</v>
      </c>
      <c r="BS318" s="25" t="s">
        <v>934</v>
      </c>
      <c r="BT318" s="24" t="s">
        <v>934</v>
      </c>
      <c r="BU318" s="24" t="s">
        <v>934</v>
      </c>
      <c r="BV318" s="24" t="s">
        <v>934</v>
      </c>
      <c r="BW318" s="24" t="s">
        <v>934</v>
      </c>
      <c r="BX318" s="24" t="s">
        <v>934</v>
      </c>
      <c r="BY318" s="25" t="s">
        <v>945</v>
      </c>
      <c r="BZ318" t="s">
        <v>1397</v>
      </c>
      <c r="CB318" t="s">
        <v>1404</v>
      </c>
      <c r="CC318" s="4">
        <f>SUM(348,259,905,707)/3</f>
        <v>739.66666666666663</v>
      </c>
      <c r="CD318" s="4"/>
      <c r="CE318" s="4"/>
      <c r="CF318" t="s">
        <v>793</v>
      </c>
      <c r="CG318">
        <v>100</v>
      </c>
      <c r="CH318" t="s">
        <v>805</v>
      </c>
      <c r="CI318" s="28">
        <f>AVERAGE(1.5,0.6,1)</f>
        <v>1.0333333333333334</v>
      </c>
      <c r="CJ318" s="10" t="s">
        <v>1442</v>
      </c>
      <c r="CK318" s="9" t="s">
        <v>1</v>
      </c>
      <c r="CL318" s="4" t="s">
        <v>1</v>
      </c>
      <c r="CM318" t="s">
        <v>847</v>
      </c>
      <c r="CN318" s="4">
        <f>SUM(7,21.7,12,10.3)/3*10</f>
        <v>170</v>
      </c>
      <c r="CO318" s="4" t="s">
        <v>1</v>
      </c>
      <c r="CP318" s="4" t="s">
        <v>1</v>
      </c>
      <c r="CQ318" s="4" t="s">
        <v>1</v>
      </c>
      <c r="CR318" s="4" t="s">
        <v>1</v>
      </c>
      <c r="CS318" s="4" t="s">
        <v>1</v>
      </c>
      <c r="CT318" s="4" t="s">
        <v>1</v>
      </c>
      <c r="CU318" s="4" t="s">
        <v>1</v>
      </c>
      <c r="CV318" t="s">
        <v>854</v>
      </c>
      <c r="CW318">
        <v>100</v>
      </c>
      <c r="CX318">
        <v>0</v>
      </c>
      <c r="CY318">
        <v>30</v>
      </c>
      <c r="CZ318" s="26" t="s">
        <v>1358</v>
      </c>
      <c r="DA318" t="s">
        <v>734</v>
      </c>
      <c r="DB318">
        <v>49</v>
      </c>
      <c r="DC318">
        <v>0</v>
      </c>
      <c r="DD318">
        <v>30</v>
      </c>
      <c r="DE318" s="26" t="s">
        <v>1358</v>
      </c>
      <c r="DF318" t="s">
        <v>735</v>
      </c>
      <c r="DG318">
        <v>23</v>
      </c>
      <c r="DH318">
        <v>0</v>
      </c>
      <c r="DI318">
        <v>30</v>
      </c>
      <c r="DJ318" s="26" t="s">
        <v>1358</v>
      </c>
      <c r="DK318" t="s">
        <v>736</v>
      </c>
      <c r="DL318">
        <v>28</v>
      </c>
      <c r="DM318">
        <v>0</v>
      </c>
      <c r="DN318">
        <v>30</v>
      </c>
      <c r="DO318" s="26" t="s">
        <v>1358</v>
      </c>
      <c r="DP318" t="s">
        <v>6</v>
      </c>
      <c r="DQ318" t="s">
        <v>813</v>
      </c>
      <c r="DR318">
        <v>7.9</v>
      </c>
      <c r="DS318">
        <v>0</v>
      </c>
      <c r="DT318">
        <v>30</v>
      </c>
      <c r="DU318" s="26" t="s">
        <v>1358</v>
      </c>
      <c r="EA318" t="s">
        <v>982</v>
      </c>
      <c r="EB318">
        <v>22.400000000000002</v>
      </c>
      <c r="EC318">
        <v>0</v>
      </c>
      <c r="ED318">
        <v>30</v>
      </c>
      <c r="EE318" s="26" t="s">
        <v>1358</v>
      </c>
      <c r="EF318" s="26"/>
      <c r="FZ318" t="s">
        <v>806</v>
      </c>
      <c r="GA318">
        <v>1290.333333</v>
      </c>
      <c r="GE318" s="26" t="s">
        <v>1358</v>
      </c>
      <c r="HA318" s="5" t="s">
        <v>1</v>
      </c>
      <c r="HB318" s="4" t="s">
        <v>1</v>
      </c>
      <c r="HC318" t="s">
        <v>1</v>
      </c>
      <c r="HD318" t="s">
        <v>1</v>
      </c>
      <c r="HE318" t="s">
        <v>1</v>
      </c>
      <c r="HF318" s="5" t="s">
        <v>1063</v>
      </c>
      <c r="HG318" s="4">
        <v>2</v>
      </c>
      <c r="HH318">
        <v>0</v>
      </c>
      <c r="HI318">
        <v>30</v>
      </c>
      <c r="HJ318" s="26" t="s">
        <v>1358</v>
      </c>
      <c r="HK318" t="s">
        <v>815</v>
      </c>
      <c r="HL318">
        <v>1.3</v>
      </c>
      <c r="HM318">
        <v>0</v>
      </c>
      <c r="HN318">
        <v>30</v>
      </c>
      <c r="HO318" t="s">
        <v>1</v>
      </c>
      <c r="HP318" s="26" t="s">
        <v>1358</v>
      </c>
      <c r="HZ318" t="s">
        <v>1</v>
      </c>
      <c r="IA318" t="s">
        <v>1</v>
      </c>
      <c r="IB318" s="10" t="s">
        <v>1</v>
      </c>
      <c r="IC318" s="10"/>
      <c r="ID318" s="10"/>
      <c r="IE318" s="10" t="s">
        <v>1</v>
      </c>
      <c r="IF318" s="10" t="s">
        <v>1</v>
      </c>
      <c r="IG318" s="10"/>
      <c r="IH318" s="10"/>
      <c r="II318" s="10"/>
      <c r="IJ318" s="10"/>
      <c r="IK318" s="10"/>
      <c r="IL318" s="10"/>
      <c r="IM318" s="10"/>
      <c r="IN318" s="10"/>
      <c r="IO318" s="10"/>
      <c r="IP318" s="10"/>
      <c r="IQ318" s="10"/>
      <c r="IR318" s="10"/>
      <c r="IS318" t="s">
        <v>1</v>
      </c>
      <c r="IT318" t="s">
        <v>1</v>
      </c>
      <c r="IW318" t="s">
        <v>1</v>
      </c>
      <c r="IX318" t="s">
        <v>1</v>
      </c>
      <c r="IY318" t="s">
        <v>808</v>
      </c>
      <c r="IZ318">
        <v>2703.333333</v>
      </c>
      <c r="JA318" t="s">
        <v>1</v>
      </c>
      <c r="JB318" s="4" t="s">
        <v>1</v>
      </c>
      <c r="JC318" t="s">
        <v>1</v>
      </c>
      <c r="JD318" s="4" t="s">
        <v>1</v>
      </c>
      <c r="JE318" t="s">
        <v>1</v>
      </c>
      <c r="JF318" t="s">
        <v>1</v>
      </c>
      <c r="JR318" t="s">
        <v>1066</v>
      </c>
      <c r="JS318">
        <v>560</v>
      </c>
      <c r="JU318" t="s">
        <v>1</v>
      </c>
      <c r="JW318" t="s">
        <v>1</v>
      </c>
      <c r="JX318">
        <v>0</v>
      </c>
      <c r="JY318">
        <v>75</v>
      </c>
      <c r="JZ318" t="s">
        <v>796</v>
      </c>
      <c r="KA318" t="s">
        <v>198</v>
      </c>
      <c r="KB318" t="s">
        <v>738</v>
      </c>
      <c r="KC318" t="s">
        <v>1067</v>
      </c>
      <c r="KD318" s="1">
        <f>0.24/10.4*JS318</f>
        <v>12.923076923076922</v>
      </c>
      <c r="KE318" s="1" t="s">
        <v>1</v>
      </c>
      <c r="KF318" s="11" t="s">
        <v>1</v>
      </c>
      <c r="KG318">
        <v>0</v>
      </c>
      <c r="KH318">
        <v>75</v>
      </c>
      <c r="KI318" t="s">
        <v>796</v>
      </c>
      <c r="KJ318" t="s">
        <v>198</v>
      </c>
      <c r="KK318" t="s">
        <v>738</v>
      </c>
    </row>
    <row r="319" spans="1:297" x14ac:dyDescent="0.2">
      <c r="A319">
        <v>287</v>
      </c>
      <c r="B319" t="s">
        <v>705</v>
      </c>
      <c r="C319" t="s">
        <v>357</v>
      </c>
      <c r="D319" t="s">
        <v>354</v>
      </c>
      <c r="E319">
        <v>51</v>
      </c>
      <c r="F319" t="s">
        <v>355</v>
      </c>
      <c r="G319" t="s">
        <v>1</v>
      </c>
      <c r="H319" s="26" t="s">
        <v>1420</v>
      </c>
      <c r="I319" t="s">
        <v>1</v>
      </c>
      <c r="J319" t="s">
        <v>1</v>
      </c>
      <c r="K319" t="s">
        <v>1</v>
      </c>
      <c r="L319" t="s">
        <v>1</v>
      </c>
      <c r="M319" t="s">
        <v>1</v>
      </c>
      <c r="N319" t="s">
        <v>1</v>
      </c>
      <c r="O319" t="s">
        <v>1</v>
      </c>
      <c r="P319" t="s">
        <v>1</v>
      </c>
      <c r="Q319" t="s">
        <v>1</v>
      </c>
      <c r="R319" t="s">
        <v>1</v>
      </c>
      <c r="S319" t="s">
        <v>1</v>
      </c>
      <c r="T319" t="s">
        <v>1</v>
      </c>
      <c r="U319" t="s">
        <v>1</v>
      </c>
      <c r="V319" t="s">
        <v>1</v>
      </c>
      <c r="W319" t="s">
        <v>1</v>
      </c>
      <c r="X319" t="s">
        <v>1</v>
      </c>
      <c r="Y319" t="s">
        <v>1</v>
      </c>
      <c r="Z319" t="s">
        <v>1</v>
      </c>
      <c r="AA319" t="s">
        <v>1</v>
      </c>
      <c r="AB319" t="s">
        <v>1</v>
      </c>
      <c r="AC319" t="s">
        <v>1</v>
      </c>
      <c r="AD319" t="s">
        <v>1</v>
      </c>
      <c r="AE319" t="s">
        <v>1</v>
      </c>
      <c r="AF319" t="s">
        <v>1</v>
      </c>
      <c r="AG319" t="s">
        <v>1</v>
      </c>
      <c r="AH319" t="s">
        <v>1</v>
      </c>
      <c r="AI319" t="s">
        <v>1</v>
      </c>
      <c r="AJ319" t="s">
        <v>1</v>
      </c>
      <c r="AK319" t="s">
        <v>1</v>
      </c>
      <c r="AL319" t="s">
        <v>1</v>
      </c>
      <c r="AM319" t="s">
        <v>1</v>
      </c>
      <c r="AN319">
        <v>287</v>
      </c>
      <c r="AO319">
        <f t="shared" si="45"/>
        <v>287</v>
      </c>
      <c r="AP319">
        <f t="shared" si="40"/>
        <v>51</v>
      </c>
      <c r="AQ319">
        <f t="shared" si="41"/>
        <v>51</v>
      </c>
      <c r="AR319" s="26" t="s">
        <v>1355</v>
      </c>
      <c r="AS319" s="26" t="s">
        <v>1356</v>
      </c>
      <c r="AT319" t="s">
        <v>726</v>
      </c>
      <c r="AU319" t="s">
        <v>1</v>
      </c>
      <c r="AV319" t="s">
        <v>1</v>
      </c>
      <c r="AW319">
        <v>46.04</v>
      </c>
      <c r="AX319">
        <v>13.22</v>
      </c>
      <c r="AY319" t="s">
        <v>737</v>
      </c>
      <c r="BA319" s="3">
        <v>2</v>
      </c>
      <c r="BB319" s="3"/>
      <c r="BC319" s="3"/>
      <c r="BD319" s="3"/>
      <c r="BE319" s="3"/>
      <c r="BF319">
        <v>1990</v>
      </c>
      <c r="BG319" s="24" t="s">
        <v>733</v>
      </c>
      <c r="BH319" s="24" t="s">
        <v>733</v>
      </c>
      <c r="BI319" s="24" t="s">
        <v>733</v>
      </c>
      <c r="BJ319" s="24" t="s">
        <v>732</v>
      </c>
      <c r="BK319" s="24" t="s">
        <v>733</v>
      </c>
      <c r="BL319" s="25" t="s">
        <v>733</v>
      </c>
      <c r="BM319" s="24" t="s">
        <v>733</v>
      </c>
      <c r="BN319" s="24" t="s">
        <v>732</v>
      </c>
      <c r="BO319" s="24" t="s">
        <v>733</v>
      </c>
      <c r="BP319" s="24" t="s">
        <v>733</v>
      </c>
      <c r="BQ319" s="24" t="s">
        <v>945</v>
      </c>
      <c r="BR319" s="24" t="s">
        <v>945</v>
      </c>
      <c r="BS319" s="25" t="s">
        <v>934</v>
      </c>
      <c r="BT319" s="24" t="s">
        <v>934</v>
      </c>
      <c r="BU319" s="24" t="s">
        <v>934</v>
      </c>
      <c r="BV319" s="24" t="s">
        <v>934</v>
      </c>
      <c r="BW319" s="24" t="s">
        <v>934</v>
      </c>
      <c r="BX319" s="24" t="s">
        <v>934</v>
      </c>
      <c r="BY319" s="25" t="s">
        <v>945</v>
      </c>
      <c r="BZ319" t="s">
        <v>1397</v>
      </c>
      <c r="CB319" t="s">
        <v>1404</v>
      </c>
      <c r="CC319" s="4">
        <f>SUM(546,216,1472,1125)/3</f>
        <v>1119.6666666666667</v>
      </c>
      <c r="CD319" s="4"/>
      <c r="CE319" s="4"/>
      <c r="CF319" t="s">
        <v>793</v>
      </c>
      <c r="CG319">
        <v>100</v>
      </c>
      <c r="CH319" t="s">
        <v>805</v>
      </c>
      <c r="CI319" s="28">
        <f>AVERAGE(1.5,0.6,1)</f>
        <v>1.0333333333333334</v>
      </c>
      <c r="CJ319" s="10" t="s">
        <v>1442</v>
      </c>
      <c r="CK319" s="9" t="s">
        <v>1</v>
      </c>
      <c r="CL319" s="4" t="s">
        <v>1</v>
      </c>
      <c r="CM319" t="s">
        <v>847</v>
      </c>
      <c r="CN319" s="4">
        <f>SUM(11,18.6,24.9,16.9)/3*10</f>
        <v>238</v>
      </c>
      <c r="CO319" s="4" t="s">
        <v>1</v>
      </c>
      <c r="CP319" s="4" t="s">
        <v>1</v>
      </c>
      <c r="CQ319" s="4" t="s">
        <v>1</v>
      </c>
      <c r="CR319" s="4" t="s">
        <v>1</v>
      </c>
      <c r="CS319" s="4" t="s">
        <v>1</v>
      </c>
      <c r="CT319" s="4" t="s">
        <v>1</v>
      </c>
      <c r="CU319" s="4" t="s">
        <v>1</v>
      </c>
      <c r="CV319" t="s">
        <v>854</v>
      </c>
      <c r="CW319">
        <v>100</v>
      </c>
      <c r="CX319">
        <v>0</v>
      </c>
      <c r="CY319">
        <v>30</v>
      </c>
      <c r="CZ319" s="26" t="s">
        <v>1358</v>
      </c>
      <c r="DA319" t="s">
        <v>734</v>
      </c>
      <c r="DB319">
        <v>49</v>
      </c>
      <c r="DC319">
        <v>0</v>
      </c>
      <c r="DD319">
        <v>30</v>
      </c>
      <c r="DE319" s="26" t="s">
        <v>1358</v>
      </c>
      <c r="DF319" t="s">
        <v>735</v>
      </c>
      <c r="DG319">
        <v>23</v>
      </c>
      <c r="DH319">
        <v>0</v>
      </c>
      <c r="DI319">
        <v>30</v>
      </c>
      <c r="DJ319" s="26" t="s">
        <v>1358</v>
      </c>
      <c r="DK319" t="s">
        <v>736</v>
      </c>
      <c r="DL319">
        <v>28</v>
      </c>
      <c r="DM319">
        <v>0</v>
      </c>
      <c r="DN319">
        <v>30</v>
      </c>
      <c r="DO319" s="26" t="s">
        <v>1358</v>
      </c>
      <c r="DP319" t="s">
        <v>6</v>
      </c>
      <c r="DQ319" t="s">
        <v>813</v>
      </c>
      <c r="DR319">
        <v>7.9</v>
      </c>
      <c r="DS319">
        <v>0</v>
      </c>
      <c r="DT319">
        <v>30</v>
      </c>
      <c r="DU319" s="26" t="s">
        <v>1358</v>
      </c>
      <c r="EA319" t="s">
        <v>982</v>
      </c>
      <c r="EB319">
        <v>22.400000000000002</v>
      </c>
      <c r="EC319">
        <v>0</v>
      </c>
      <c r="ED319">
        <v>30</v>
      </c>
      <c r="EE319" s="26" t="s">
        <v>1358</v>
      </c>
      <c r="EF319" s="26"/>
      <c r="FZ319" t="s">
        <v>806</v>
      </c>
      <c r="GA319">
        <v>1290.333333</v>
      </c>
      <c r="GE319" s="26" t="s">
        <v>1358</v>
      </c>
      <c r="HA319" s="5" t="s">
        <v>1</v>
      </c>
      <c r="HB319" s="4" t="s">
        <v>1</v>
      </c>
      <c r="HC319" t="s">
        <v>1</v>
      </c>
      <c r="HD319" t="s">
        <v>1</v>
      </c>
      <c r="HE319" t="s">
        <v>1</v>
      </c>
      <c r="HF319" s="5" t="s">
        <v>1063</v>
      </c>
      <c r="HG319" s="4">
        <v>2</v>
      </c>
      <c r="HH319">
        <v>0</v>
      </c>
      <c r="HI319">
        <v>30</v>
      </c>
      <c r="HJ319" s="26" t="s">
        <v>1358</v>
      </c>
      <c r="HK319" t="s">
        <v>815</v>
      </c>
      <c r="HL319">
        <v>1.3</v>
      </c>
      <c r="HM319">
        <v>0</v>
      </c>
      <c r="HN319">
        <v>30</v>
      </c>
      <c r="HO319" t="s">
        <v>1</v>
      </c>
      <c r="HP319" s="26" t="s">
        <v>1358</v>
      </c>
      <c r="HZ319" t="s">
        <v>1295</v>
      </c>
      <c r="IA319">
        <v>130</v>
      </c>
      <c r="IB319" s="10" t="s">
        <v>829</v>
      </c>
      <c r="IC319" s="10"/>
      <c r="ID319" s="10"/>
      <c r="IE319" s="10" t="s">
        <v>1</v>
      </c>
      <c r="IF319" s="10" t="s">
        <v>1</v>
      </c>
      <c r="IG319" s="10"/>
      <c r="IH319" s="10"/>
      <c r="II319" s="10"/>
      <c r="IJ319" s="10"/>
      <c r="IK319" s="10"/>
      <c r="IL319" s="10"/>
      <c r="IM319" s="10"/>
      <c r="IN319" s="10"/>
      <c r="IO319" s="10"/>
      <c r="IP319" s="10"/>
      <c r="IQ319" s="10"/>
      <c r="IR319" s="10"/>
      <c r="IS319" t="s">
        <v>1</v>
      </c>
      <c r="IT319" t="s">
        <v>1</v>
      </c>
      <c r="IW319" t="s">
        <v>1</v>
      </c>
      <c r="IX319" t="s">
        <v>1</v>
      </c>
      <c r="IY319" t="s">
        <v>808</v>
      </c>
      <c r="IZ319">
        <v>2703.333333</v>
      </c>
      <c r="JA319" t="s">
        <v>1</v>
      </c>
      <c r="JB319" s="4" t="s">
        <v>1</v>
      </c>
      <c r="JC319" t="s">
        <v>1</v>
      </c>
      <c r="JD319" s="4" t="s">
        <v>1</v>
      </c>
      <c r="JE319" t="s">
        <v>1</v>
      </c>
      <c r="JF319" t="s">
        <v>1</v>
      </c>
      <c r="JR319" t="s">
        <v>1066</v>
      </c>
      <c r="JS319">
        <v>635.20000000000005</v>
      </c>
      <c r="JU319" t="s">
        <v>1</v>
      </c>
      <c r="JW319" t="s">
        <v>1</v>
      </c>
      <c r="JX319">
        <v>0</v>
      </c>
      <c r="JY319">
        <v>75</v>
      </c>
      <c r="JZ319" t="s">
        <v>796</v>
      </c>
      <c r="KA319" t="s">
        <v>198</v>
      </c>
      <c r="KB319" t="s">
        <v>738</v>
      </c>
      <c r="KC319" t="s">
        <v>1067</v>
      </c>
      <c r="KD319" s="1">
        <f t="shared" ref="KD319:KD320" si="46">0.24/10.4*JS319</f>
        <v>14.658461538461538</v>
      </c>
      <c r="KE319" s="1" t="s">
        <v>1</v>
      </c>
      <c r="KF319" s="11" t="s">
        <v>1</v>
      </c>
      <c r="KG319">
        <v>0</v>
      </c>
      <c r="KH319">
        <v>75</v>
      </c>
      <c r="KI319" t="s">
        <v>796</v>
      </c>
      <c r="KJ319" t="s">
        <v>198</v>
      </c>
      <c r="KK319" t="s">
        <v>738</v>
      </c>
    </row>
    <row r="320" spans="1:297" x14ac:dyDescent="0.2">
      <c r="A320">
        <v>288</v>
      </c>
      <c r="B320" t="s">
        <v>705</v>
      </c>
      <c r="C320" t="s">
        <v>358</v>
      </c>
      <c r="D320" t="s">
        <v>354</v>
      </c>
      <c r="E320">
        <v>51</v>
      </c>
      <c r="F320" t="s">
        <v>355</v>
      </c>
      <c r="G320" t="s">
        <v>1</v>
      </c>
      <c r="H320" s="26" t="s">
        <v>1420</v>
      </c>
      <c r="I320" t="s">
        <v>1</v>
      </c>
      <c r="J320" t="s">
        <v>1</v>
      </c>
      <c r="K320" t="s">
        <v>1</v>
      </c>
      <c r="L320" t="s">
        <v>1</v>
      </c>
      <c r="M320" t="s">
        <v>1</v>
      </c>
      <c r="N320" t="s">
        <v>1</v>
      </c>
      <c r="O320" t="s">
        <v>1</v>
      </c>
      <c r="P320" t="s">
        <v>1</v>
      </c>
      <c r="Q320" t="s">
        <v>1</v>
      </c>
      <c r="R320" t="s">
        <v>1</v>
      </c>
      <c r="S320" t="s">
        <v>1</v>
      </c>
      <c r="T320" t="s">
        <v>1</v>
      </c>
      <c r="U320" t="s">
        <v>1</v>
      </c>
      <c r="V320" t="s">
        <v>1</v>
      </c>
      <c r="W320" t="s">
        <v>1</v>
      </c>
      <c r="X320" t="s">
        <v>1</v>
      </c>
      <c r="Y320" t="s">
        <v>1</v>
      </c>
      <c r="Z320" t="s">
        <v>1</v>
      </c>
      <c r="AA320" t="s">
        <v>1</v>
      </c>
      <c r="AB320" t="s">
        <v>1</v>
      </c>
      <c r="AC320" t="s">
        <v>1</v>
      </c>
      <c r="AD320" t="s">
        <v>1</v>
      </c>
      <c r="AE320" t="s">
        <v>1</v>
      </c>
      <c r="AF320" t="s">
        <v>1</v>
      </c>
      <c r="AG320" t="s">
        <v>1</v>
      </c>
      <c r="AH320" t="s">
        <v>1</v>
      </c>
      <c r="AI320" t="s">
        <v>1</v>
      </c>
      <c r="AJ320" t="s">
        <v>1</v>
      </c>
      <c r="AK320" t="s">
        <v>1</v>
      </c>
      <c r="AL320" t="s">
        <v>1</v>
      </c>
      <c r="AM320" t="s">
        <v>1</v>
      </c>
      <c r="AN320">
        <v>288</v>
      </c>
      <c r="AO320">
        <f t="shared" si="45"/>
        <v>288</v>
      </c>
      <c r="AP320">
        <f t="shared" si="40"/>
        <v>51</v>
      </c>
      <c r="AQ320">
        <f t="shared" si="41"/>
        <v>51</v>
      </c>
      <c r="AR320" s="26" t="s">
        <v>1355</v>
      </c>
      <c r="AS320" s="26" t="s">
        <v>1356</v>
      </c>
      <c r="AT320" t="s">
        <v>726</v>
      </c>
      <c r="AU320" t="s">
        <v>1</v>
      </c>
      <c r="AV320" t="s">
        <v>1</v>
      </c>
      <c r="AW320">
        <v>46.04</v>
      </c>
      <c r="AX320">
        <v>13.22</v>
      </c>
      <c r="AY320" t="s">
        <v>737</v>
      </c>
      <c r="BA320" s="3">
        <v>2</v>
      </c>
      <c r="BB320" s="3"/>
      <c r="BC320" s="3"/>
      <c r="BD320" s="3"/>
      <c r="BE320" s="3"/>
      <c r="BF320">
        <v>1990</v>
      </c>
      <c r="BG320" s="24" t="s">
        <v>733</v>
      </c>
      <c r="BH320" s="24" t="s">
        <v>733</v>
      </c>
      <c r="BI320" s="24" t="s">
        <v>733</v>
      </c>
      <c r="BJ320" s="24" t="s">
        <v>732</v>
      </c>
      <c r="BK320" s="24" t="s">
        <v>733</v>
      </c>
      <c r="BL320" s="25" t="s">
        <v>733</v>
      </c>
      <c r="BM320" s="24" t="s">
        <v>733</v>
      </c>
      <c r="BN320" s="24" t="s">
        <v>732</v>
      </c>
      <c r="BO320" s="24" t="s">
        <v>733</v>
      </c>
      <c r="BP320" s="24" t="s">
        <v>733</v>
      </c>
      <c r="BQ320" s="24" t="s">
        <v>945</v>
      </c>
      <c r="BR320" s="24" t="s">
        <v>945</v>
      </c>
      <c r="BS320" s="25" t="s">
        <v>934</v>
      </c>
      <c r="BT320" s="24" t="s">
        <v>934</v>
      </c>
      <c r="BU320" s="24" t="s">
        <v>934</v>
      </c>
      <c r="BV320" s="24" t="s">
        <v>934</v>
      </c>
      <c r="BW320" s="24" t="s">
        <v>934</v>
      </c>
      <c r="BX320" s="24" t="s">
        <v>934</v>
      </c>
      <c r="BY320" s="25" t="s">
        <v>945</v>
      </c>
      <c r="BZ320" t="s">
        <v>1397</v>
      </c>
      <c r="CB320" t="s">
        <v>1404</v>
      </c>
      <c r="CC320" s="4">
        <f>SUM(616,273,1610,1273)/3</f>
        <v>1257.3333333333333</v>
      </c>
      <c r="CD320" s="4"/>
      <c r="CE320" s="4"/>
      <c r="CF320" t="s">
        <v>793</v>
      </c>
      <c r="CG320">
        <v>100</v>
      </c>
      <c r="CH320" t="s">
        <v>805</v>
      </c>
      <c r="CI320" s="28">
        <f>AVERAGE(1.5,0.6,1)</f>
        <v>1.0333333333333334</v>
      </c>
      <c r="CJ320" s="10" t="s">
        <v>1442</v>
      </c>
      <c r="CK320" s="9" t="s">
        <v>1</v>
      </c>
      <c r="CL320" s="4" t="s">
        <v>1</v>
      </c>
      <c r="CM320" t="s">
        <v>847</v>
      </c>
      <c r="CN320" s="4">
        <f>SUM(14.2,22,30,23.3)/3*10</f>
        <v>298.33333333333331</v>
      </c>
      <c r="CO320" s="4" t="s">
        <v>1</v>
      </c>
      <c r="CP320" s="4" t="s">
        <v>1</v>
      </c>
      <c r="CQ320" s="4" t="s">
        <v>1</v>
      </c>
      <c r="CR320" s="4" t="s">
        <v>1</v>
      </c>
      <c r="CS320" s="4" t="s">
        <v>1</v>
      </c>
      <c r="CT320" s="4" t="s">
        <v>1</v>
      </c>
      <c r="CU320" s="4" t="s">
        <v>1</v>
      </c>
      <c r="CV320" t="s">
        <v>854</v>
      </c>
      <c r="CW320">
        <v>100</v>
      </c>
      <c r="CX320">
        <v>0</v>
      </c>
      <c r="CY320">
        <v>30</v>
      </c>
      <c r="CZ320" s="26" t="s">
        <v>1358</v>
      </c>
      <c r="DA320" t="s">
        <v>734</v>
      </c>
      <c r="DB320">
        <v>49</v>
      </c>
      <c r="DC320">
        <v>0</v>
      </c>
      <c r="DD320">
        <v>30</v>
      </c>
      <c r="DE320" s="26" t="s">
        <v>1358</v>
      </c>
      <c r="DF320" t="s">
        <v>735</v>
      </c>
      <c r="DG320">
        <v>23</v>
      </c>
      <c r="DH320">
        <v>0</v>
      </c>
      <c r="DI320">
        <v>30</v>
      </c>
      <c r="DJ320" s="26" t="s">
        <v>1358</v>
      </c>
      <c r="DK320" t="s">
        <v>736</v>
      </c>
      <c r="DL320">
        <v>28</v>
      </c>
      <c r="DM320">
        <v>0</v>
      </c>
      <c r="DN320">
        <v>30</v>
      </c>
      <c r="DO320" s="26" t="s">
        <v>1358</v>
      </c>
      <c r="DP320" t="s">
        <v>6</v>
      </c>
      <c r="DQ320" t="s">
        <v>813</v>
      </c>
      <c r="DR320">
        <v>7.9</v>
      </c>
      <c r="DS320">
        <v>0</v>
      </c>
      <c r="DT320">
        <v>30</v>
      </c>
      <c r="DU320" s="26" t="s">
        <v>1358</v>
      </c>
      <c r="EA320" t="s">
        <v>982</v>
      </c>
      <c r="EB320">
        <v>22.400000000000002</v>
      </c>
      <c r="EC320">
        <v>0</v>
      </c>
      <c r="ED320">
        <v>30</v>
      </c>
      <c r="EE320" s="26" t="s">
        <v>1358</v>
      </c>
      <c r="EF320" s="26"/>
      <c r="FZ320" t="s">
        <v>806</v>
      </c>
      <c r="GA320">
        <v>1290.333333</v>
      </c>
      <c r="GE320" s="26" t="s">
        <v>1358</v>
      </c>
      <c r="HA320" s="5" t="s">
        <v>1</v>
      </c>
      <c r="HB320" s="4" t="s">
        <v>1</v>
      </c>
      <c r="HC320" t="s">
        <v>1</v>
      </c>
      <c r="HD320" t="s">
        <v>1</v>
      </c>
      <c r="HE320" t="s">
        <v>1</v>
      </c>
      <c r="HF320" s="5" t="s">
        <v>1063</v>
      </c>
      <c r="HG320" s="4">
        <v>2</v>
      </c>
      <c r="HH320">
        <v>0</v>
      </c>
      <c r="HI320">
        <v>30</v>
      </c>
      <c r="HJ320" s="26" t="s">
        <v>1358</v>
      </c>
      <c r="HK320" t="s">
        <v>815</v>
      </c>
      <c r="HL320">
        <v>1.3</v>
      </c>
      <c r="HM320">
        <v>0</v>
      </c>
      <c r="HN320">
        <v>30</v>
      </c>
      <c r="HO320" t="s">
        <v>1</v>
      </c>
      <c r="HP320" s="26" t="s">
        <v>1358</v>
      </c>
      <c r="HZ320" t="s">
        <v>1295</v>
      </c>
      <c r="IA320">
        <v>260</v>
      </c>
      <c r="IB320" s="10" t="s">
        <v>829</v>
      </c>
      <c r="IC320" s="10"/>
      <c r="ID320" s="10"/>
      <c r="IE320" s="10" t="s">
        <v>1</v>
      </c>
      <c r="IF320" s="10" t="s">
        <v>1</v>
      </c>
      <c r="IG320" s="10"/>
      <c r="IH320" s="10"/>
      <c r="II320" s="10"/>
      <c r="IJ320" s="10"/>
      <c r="IK320" s="10"/>
      <c r="IL320" s="10"/>
      <c r="IM320" s="10"/>
      <c r="IN320" s="10"/>
      <c r="IO320" s="10"/>
      <c r="IP320" s="10"/>
      <c r="IQ320" s="10"/>
      <c r="IR320" s="10"/>
      <c r="IS320" t="s">
        <v>1</v>
      </c>
      <c r="IT320" t="s">
        <v>1</v>
      </c>
      <c r="IW320" t="s">
        <v>1</v>
      </c>
      <c r="IX320" t="s">
        <v>1</v>
      </c>
      <c r="IY320" t="s">
        <v>808</v>
      </c>
      <c r="IZ320">
        <v>2703.333333</v>
      </c>
      <c r="JA320" t="s">
        <v>1</v>
      </c>
      <c r="JB320" s="4" t="s">
        <v>1</v>
      </c>
      <c r="JC320" t="s">
        <v>1</v>
      </c>
      <c r="JD320" s="4" t="s">
        <v>1</v>
      </c>
      <c r="JE320" t="s">
        <v>1</v>
      </c>
      <c r="JF320" t="s">
        <v>1</v>
      </c>
      <c r="JR320" t="s">
        <v>1066</v>
      </c>
      <c r="JS320">
        <v>874.3</v>
      </c>
      <c r="JU320" t="s">
        <v>1</v>
      </c>
      <c r="JW320" t="s">
        <v>1</v>
      </c>
      <c r="JX320">
        <v>0</v>
      </c>
      <c r="JY320">
        <v>75</v>
      </c>
      <c r="JZ320" t="s">
        <v>796</v>
      </c>
      <c r="KA320" t="s">
        <v>198</v>
      </c>
      <c r="KB320" t="s">
        <v>738</v>
      </c>
      <c r="KC320" t="s">
        <v>1067</v>
      </c>
      <c r="KD320" s="1">
        <f t="shared" si="46"/>
        <v>20.176153846153841</v>
      </c>
      <c r="KE320" s="1" t="s">
        <v>1</v>
      </c>
      <c r="KF320" s="11" t="s">
        <v>1</v>
      </c>
      <c r="KG320">
        <v>0</v>
      </c>
      <c r="KH320">
        <v>75</v>
      </c>
      <c r="KI320" t="s">
        <v>796</v>
      </c>
      <c r="KJ320" t="s">
        <v>198</v>
      </c>
      <c r="KK320" t="s">
        <v>738</v>
      </c>
    </row>
    <row r="321" spans="1:297" x14ac:dyDescent="0.2">
      <c r="A321">
        <v>289</v>
      </c>
      <c r="B321" t="s">
        <v>705</v>
      </c>
      <c r="C321" t="s">
        <v>105</v>
      </c>
      <c r="D321" t="s">
        <v>359</v>
      </c>
      <c r="E321">
        <v>52</v>
      </c>
      <c r="F321" t="s">
        <v>703</v>
      </c>
      <c r="G321" t="s">
        <v>1</v>
      </c>
      <c r="H321" s="26" t="s">
        <v>1420</v>
      </c>
      <c r="I321" t="s">
        <v>1</v>
      </c>
      <c r="J321" t="s">
        <v>1</v>
      </c>
      <c r="K321" t="s">
        <v>1</v>
      </c>
      <c r="L321" t="s">
        <v>1</v>
      </c>
      <c r="M321" t="s">
        <v>1</v>
      </c>
      <c r="N321" t="s">
        <v>1</v>
      </c>
      <c r="O321" t="s">
        <v>1</v>
      </c>
      <c r="P321" t="s">
        <v>1</v>
      </c>
      <c r="Q321" t="s">
        <v>1</v>
      </c>
      <c r="R321" t="s">
        <v>1</v>
      </c>
      <c r="S321" t="s">
        <v>1</v>
      </c>
      <c r="T321" t="s">
        <v>1</v>
      </c>
      <c r="U321" t="s">
        <v>1</v>
      </c>
      <c r="V321" t="s">
        <v>1</v>
      </c>
      <c r="W321" t="s">
        <v>1</v>
      </c>
      <c r="X321" t="s">
        <v>1</v>
      </c>
      <c r="Y321" t="s">
        <v>1</v>
      </c>
      <c r="Z321" t="s">
        <v>1</v>
      </c>
      <c r="AA321" t="s">
        <v>1</v>
      </c>
      <c r="AB321" t="s">
        <v>1</v>
      </c>
      <c r="AC321" t="s">
        <v>1</v>
      </c>
      <c r="AD321" t="s">
        <v>1</v>
      </c>
      <c r="AE321" t="s">
        <v>1</v>
      </c>
      <c r="AF321" t="s">
        <v>1</v>
      </c>
      <c r="AG321" t="s">
        <v>1</v>
      </c>
      <c r="AH321" t="s">
        <v>1</v>
      </c>
      <c r="AI321" t="s">
        <v>1</v>
      </c>
      <c r="AJ321" t="s">
        <v>1</v>
      </c>
      <c r="AK321" t="s">
        <v>1</v>
      </c>
      <c r="AL321" t="s">
        <v>1</v>
      </c>
      <c r="AM321" t="s">
        <v>1</v>
      </c>
      <c r="AN321">
        <v>289</v>
      </c>
      <c r="AO321">
        <f t="shared" si="45"/>
        <v>289</v>
      </c>
      <c r="AP321">
        <f t="shared" si="40"/>
        <v>52</v>
      </c>
      <c r="AQ321">
        <f t="shared" si="41"/>
        <v>52</v>
      </c>
      <c r="AR321" s="26" t="s">
        <v>1355</v>
      </c>
      <c r="AS321" s="26" t="s">
        <v>1356</v>
      </c>
      <c r="AT321" t="s">
        <v>727</v>
      </c>
      <c r="AU321" t="s">
        <v>1</v>
      </c>
      <c r="AV321" t="s">
        <v>1</v>
      </c>
      <c r="AW321">
        <v>39.82</v>
      </c>
      <c r="AX321">
        <v>-7.46</v>
      </c>
      <c r="AY321" t="s">
        <v>737</v>
      </c>
      <c r="BA321" s="3">
        <v>3</v>
      </c>
      <c r="BB321" s="3"/>
      <c r="BC321" s="3"/>
      <c r="BD321" s="3"/>
      <c r="BE321" s="3"/>
      <c r="BF321">
        <v>2008</v>
      </c>
      <c r="BG321" s="24" t="s">
        <v>733</v>
      </c>
      <c r="BH321" s="24" t="s">
        <v>733</v>
      </c>
      <c r="BI321" s="24" t="s">
        <v>733</v>
      </c>
      <c r="BJ321" s="24" t="s">
        <v>732</v>
      </c>
      <c r="BK321" s="24" t="s">
        <v>733</v>
      </c>
      <c r="BL321" s="25" t="s">
        <v>733</v>
      </c>
      <c r="BM321" s="24" t="s">
        <v>733</v>
      </c>
      <c r="BN321" s="24" t="s">
        <v>732</v>
      </c>
      <c r="BO321" s="24" t="s">
        <v>733</v>
      </c>
      <c r="BP321" s="24" t="s">
        <v>733</v>
      </c>
      <c r="BQ321" s="24" t="s">
        <v>945</v>
      </c>
      <c r="BR321" s="24" t="s">
        <v>945</v>
      </c>
      <c r="BS321" s="25" t="s">
        <v>934</v>
      </c>
      <c r="BT321" s="24" t="s">
        <v>934</v>
      </c>
      <c r="BU321" s="24" t="s">
        <v>934</v>
      </c>
      <c r="BV321" s="24" t="s">
        <v>934</v>
      </c>
      <c r="BW321" s="24" t="s">
        <v>934</v>
      </c>
      <c r="BX321" s="24" t="s">
        <v>934</v>
      </c>
      <c r="BY321" s="25" t="s">
        <v>945</v>
      </c>
      <c r="BZ321" t="s">
        <v>1397</v>
      </c>
      <c r="CB321" t="s">
        <v>1389</v>
      </c>
      <c r="CC321" s="4" t="s">
        <v>1</v>
      </c>
      <c r="CD321" s="4"/>
      <c r="CE321" s="4"/>
      <c r="CF321" t="s">
        <v>1</v>
      </c>
      <c r="CG321" t="s">
        <v>1</v>
      </c>
      <c r="CH321" t="s">
        <v>805</v>
      </c>
      <c r="CI321" s="28">
        <f>AVERAGE(1.5,1)</f>
        <v>1.25</v>
      </c>
      <c r="CJ321" s="10" t="s">
        <v>1442</v>
      </c>
      <c r="CK321" s="9" t="s">
        <v>1</v>
      </c>
      <c r="CL321" s="4" t="s">
        <v>1</v>
      </c>
      <c r="CM321" t="s">
        <v>847</v>
      </c>
      <c r="CN321" s="4">
        <f>AVERAGE(89+90,25+42)</f>
        <v>123</v>
      </c>
      <c r="CO321" s="4" t="s">
        <v>1</v>
      </c>
      <c r="CP321" s="4" t="s">
        <v>1</v>
      </c>
      <c r="CQ321" s="4" t="s">
        <v>1</v>
      </c>
      <c r="CR321" s="4" t="s">
        <v>1</v>
      </c>
      <c r="CS321" s="4" t="s">
        <v>1</v>
      </c>
      <c r="CT321" s="4" t="s">
        <v>1</v>
      </c>
      <c r="CU321" s="4" t="s">
        <v>1</v>
      </c>
      <c r="CV321" t="s">
        <v>855</v>
      </c>
      <c r="CW321">
        <v>100</v>
      </c>
      <c r="CX321">
        <v>0</v>
      </c>
      <c r="CY321">
        <v>20</v>
      </c>
      <c r="CZ321" s="26" t="s">
        <v>1358</v>
      </c>
      <c r="DA321" t="s">
        <v>734</v>
      </c>
      <c r="DB321">
        <v>76</v>
      </c>
      <c r="DC321">
        <v>0</v>
      </c>
      <c r="DD321">
        <v>20</v>
      </c>
      <c r="DE321" s="26" t="s">
        <v>1358</v>
      </c>
      <c r="DF321" t="s">
        <v>735</v>
      </c>
      <c r="DG321">
        <v>15</v>
      </c>
      <c r="DH321">
        <v>0</v>
      </c>
      <c r="DI321">
        <v>20</v>
      </c>
      <c r="DJ321" s="26" t="s">
        <v>1358</v>
      </c>
      <c r="DK321" t="s">
        <v>736</v>
      </c>
      <c r="DL321">
        <v>9</v>
      </c>
      <c r="DM321">
        <v>0</v>
      </c>
      <c r="DN321">
        <v>20</v>
      </c>
      <c r="DO321" s="26" t="s">
        <v>1358</v>
      </c>
      <c r="DP321" t="s">
        <v>6</v>
      </c>
      <c r="DQ321" t="s">
        <v>813</v>
      </c>
      <c r="DR321">
        <v>6</v>
      </c>
      <c r="DS321">
        <v>0</v>
      </c>
      <c r="DT321">
        <v>20</v>
      </c>
      <c r="DU321" s="26" t="s">
        <v>1358</v>
      </c>
      <c r="EA321" t="s">
        <v>982</v>
      </c>
      <c r="EB321">
        <v>7.1</v>
      </c>
      <c r="EC321">
        <v>0</v>
      </c>
      <c r="ED321">
        <v>20</v>
      </c>
      <c r="EE321" s="26" t="s">
        <v>1358</v>
      </c>
      <c r="EF321" s="26"/>
      <c r="FZ321" t="s">
        <v>806</v>
      </c>
      <c r="GA321">
        <v>907.34341199999994</v>
      </c>
      <c r="GE321" s="26" t="s">
        <v>1358</v>
      </c>
      <c r="HA321" s="5" t="s">
        <v>1</v>
      </c>
      <c r="HB321" s="4" t="s">
        <v>1</v>
      </c>
      <c r="HC321" t="s">
        <v>1</v>
      </c>
      <c r="HD321" t="s">
        <v>1</v>
      </c>
      <c r="HE321" t="s">
        <v>1</v>
      </c>
      <c r="HF321" s="5" t="s">
        <v>1063</v>
      </c>
      <c r="HG321" s="4">
        <v>0.28532258064516125</v>
      </c>
      <c r="HH321">
        <v>0</v>
      </c>
      <c r="HI321">
        <v>20</v>
      </c>
      <c r="HJ321" s="26" t="s">
        <v>1358</v>
      </c>
      <c r="HK321" t="s">
        <v>815</v>
      </c>
      <c r="HL321">
        <v>1.52</v>
      </c>
      <c r="HM321">
        <v>0</v>
      </c>
      <c r="HN321">
        <v>20</v>
      </c>
      <c r="HO321" t="s">
        <v>1</v>
      </c>
      <c r="HP321" s="26" t="s">
        <v>1358</v>
      </c>
      <c r="HZ321" t="s">
        <v>1</v>
      </c>
      <c r="IA321" t="s">
        <v>1</v>
      </c>
      <c r="IB321" s="10" t="s">
        <v>1</v>
      </c>
      <c r="IC321" s="10"/>
      <c r="ID321" s="10"/>
      <c r="IE321" s="10" t="s">
        <v>1</v>
      </c>
      <c r="IF321" s="10" t="s">
        <v>1</v>
      </c>
      <c r="IG321" s="10"/>
      <c r="IH321" s="10"/>
      <c r="II321" s="10"/>
      <c r="IJ321" s="10"/>
      <c r="IK321" s="10"/>
      <c r="IL321" s="10"/>
      <c r="IM321" s="10"/>
      <c r="IN321" s="10"/>
      <c r="IO321" s="10"/>
      <c r="IP321" s="10"/>
      <c r="IQ321" s="10"/>
      <c r="IR321" s="10"/>
      <c r="IS321" t="s">
        <v>1</v>
      </c>
      <c r="IT321" t="s">
        <v>1</v>
      </c>
      <c r="IW321" t="s">
        <v>1</v>
      </c>
      <c r="IX321" t="s">
        <v>1</v>
      </c>
      <c r="IY321" t="s">
        <v>808</v>
      </c>
      <c r="IZ321">
        <v>2252.5</v>
      </c>
      <c r="JA321" t="s">
        <v>1</v>
      </c>
      <c r="JB321" s="3" t="s">
        <v>1</v>
      </c>
      <c r="JC321" t="s">
        <v>1</v>
      </c>
      <c r="JD321" s="4" t="s">
        <v>1</v>
      </c>
      <c r="JE321" t="s">
        <v>810</v>
      </c>
      <c r="JF321">
        <v>100</v>
      </c>
      <c r="JR321" t="s">
        <v>1066</v>
      </c>
      <c r="JS321">
        <v>159.6</v>
      </c>
      <c r="JU321" t="s">
        <v>1</v>
      </c>
      <c r="JW321" t="s">
        <v>1</v>
      </c>
      <c r="JX321">
        <v>0</v>
      </c>
      <c r="JY321">
        <v>64.999999999999986</v>
      </c>
      <c r="JZ321" t="s">
        <v>800</v>
      </c>
      <c r="KA321" t="s">
        <v>360</v>
      </c>
      <c r="KB321" t="s">
        <v>738</v>
      </c>
      <c r="KC321" t="s">
        <v>1</v>
      </c>
      <c r="KD321" t="s">
        <v>1</v>
      </c>
      <c r="KE321" s="1" t="s">
        <v>1</v>
      </c>
      <c r="KF321" t="s">
        <v>1</v>
      </c>
      <c r="KG321" t="s">
        <v>1</v>
      </c>
      <c r="KH321" t="s">
        <v>1</v>
      </c>
      <c r="KI321" t="s">
        <v>1</v>
      </c>
      <c r="KJ321" t="s">
        <v>1</v>
      </c>
      <c r="KK321" t="s">
        <v>1</v>
      </c>
    </row>
    <row r="322" spans="1:297" x14ac:dyDescent="0.2">
      <c r="A322">
        <v>290</v>
      </c>
      <c r="B322" t="s">
        <v>705</v>
      </c>
      <c r="C322" t="s">
        <v>1330</v>
      </c>
      <c r="D322" t="s">
        <v>359</v>
      </c>
      <c r="E322">
        <v>52</v>
      </c>
      <c r="F322" t="s">
        <v>703</v>
      </c>
      <c r="G322" t="s">
        <v>1</v>
      </c>
      <c r="H322" s="26" t="s">
        <v>1420</v>
      </c>
      <c r="I322" t="s">
        <v>1</v>
      </c>
      <c r="J322" t="s">
        <v>1</v>
      </c>
      <c r="K322" t="s">
        <v>1</v>
      </c>
      <c r="L322" t="s">
        <v>1</v>
      </c>
      <c r="M322" t="s">
        <v>1</v>
      </c>
      <c r="N322" t="s">
        <v>1</v>
      </c>
      <c r="O322" t="s">
        <v>1</v>
      </c>
      <c r="P322" t="s">
        <v>1</v>
      </c>
      <c r="Q322" t="s">
        <v>1</v>
      </c>
      <c r="R322" t="s">
        <v>1</v>
      </c>
      <c r="S322" t="s">
        <v>1</v>
      </c>
      <c r="T322" t="s">
        <v>1</v>
      </c>
      <c r="U322" t="s">
        <v>1</v>
      </c>
      <c r="V322" t="s">
        <v>1</v>
      </c>
      <c r="W322" t="s">
        <v>1</v>
      </c>
      <c r="X322" t="s">
        <v>1</v>
      </c>
      <c r="Y322" t="s">
        <v>1</v>
      </c>
      <c r="Z322" t="s">
        <v>1</v>
      </c>
      <c r="AA322" t="s">
        <v>1</v>
      </c>
      <c r="AB322" t="s">
        <v>1</v>
      </c>
      <c r="AC322" t="s">
        <v>1</v>
      </c>
      <c r="AD322" t="s">
        <v>1</v>
      </c>
      <c r="AE322" t="s">
        <v>1</v>
      </c>
      <c r="AF322" t="s">
        <v>1</v>
      </c>
      <c r="AG322" t="s">
        <v>1</v>
      </c>
      <c r="AH322" t="s">
        <v>1</v>
      </c>
      <c r="AI322" t="s">
        <v>1</v>
      </c>
      <c r="AJ322" t="s">
        <v>1</v>
      </c>
      <c r="AK322" t="s">
        <v>1</v>
      </c>
      <c r="AL322" t="s">
        <v>1</v>
      </c>
      <c r="AM322" t="s">
        <v>1</v>
      </c>
      <c r="AN322">
        <v>290</v>
      </c>
      <c r="AO322">
        <f t="shared" si="45"/>
        <v>290</v>
      </c>
      <c r="AP322">
        <f t="shared" ref="AP322:AP385" si="47">E322</f>
        <v>52</v>
      </c>
      <c r="AQ322">
        <f t="shared" ref="AQ322:AQ385" si="48">E322</f>
        <v>52</v>
      </c>
      <c r="AR322" s="26" t="s">
        <v>1355</v>
      </c>
      <c r="AS322" s="26" t="s">
        <v>1356</v>
      </c>
      <c r="AT322" t="s">
        <v>727</v>
      </c>
      <c r="AU322" t="s">
        <v>1</v>
      </c>
      <c r="AV322" t="s">
        <v>1</v>
      </c>
      <c r="AW322">
        <v>39.82</v>
      </c>
      <c r="AX322">
        <v>-7.46</v>
      </c>
      <c r="AY322" t="s">
        <v>737</v>
      </c>
      <c r="BA322" s="3">
        <v>3</v>
      </c>
      <c r="BB322" s="3"/>
      <c r="BC322" s="3"/>
      <c r="BD322" s="3"/>
      <c r="BE322" s="3"/>
      <c r="BF322">
        <v>2008</v>
      </c>
      <c r="BG322" s="24" t="s">
        <v>733</v>
      </c>
      <c r="BH322" s="24" t="s">
        <v>733</v>
      </c>
      <c r="BI322" s="24" t="s">
        <v>733</v>
      </c>
      <c r="BJ322" s="24" t="s">
        <v>732</v>
      </c>
      <c r="BK322" s="24" t="s">
        <v>733</v>
      </c>
      <c r="BL322" s="25" t="s">
        <v>733</v>
      </c>
      <c r="BM322" s="24" t="s">
        <v>733</v>
      </c>
      <c r="BN322" s="24" t="s">
        <v>732</v>
      </c>
      <c r="BO322" s="24" t="s">
        <v>733</v>
      </c>
      <c r="BP322" s="24" t="s">
        <v>733</v>
      </c>
      <c r="BQ322" s="24" t="s">
        <v>945</v>
      </c>
      <c r="BR322" s="24" t="s">
        <v>945</v>
      </c>
      <c r="BS322" s="25" t="s">
        <v>934</v>
      </c>
      <c r="BT322" s="24" t="s">
        <v>934</v>
      </c>
      <c r="BU322" s="24" t="s">
        <v>934</v>
      </c>
      <c r="BV322" s="24" t="s">
        <v>934</v>
      </c>
      <c r="BW322" s="24" t="s">
        <v>934</v>
      </c>
      <c r="BX322" s="24" t="s">
        <v>934</v>
      </c>
      <c r="BY322" s="25" t="s">
        <v>945</v>
      </c>
      <c r="BZ322" t="s">
        <v>1397</v>
      </c>
      <c r="CB322" t="s">
        <v>1389</v>
      </c>
      <c r="CC322" s="4" t="s">
        <v>1</v>
      </c>
      <c r="CD322" s="4"/>
      <c r="CE322" s="4"/>
      <c r="CF322" t="s">
        <v>1</v>
      </c>
      <c r="CG322" t="s">
        <v>1</v>
      </c>
      <c r="CH322" t="s">
        <v>805</v>
      </c>
      <c r="CI322" s="28">
        <f t="shared" ref="CI322:CI330" si="49">AVERAGE(1.5,1)</f>
        <v>1.25</v>
      </c>
      <c r="CJ322" s="10" t="s">
        <v>1442</v>
      </c>
      <c r="CK322" s="9" t="s">
        <v>1</v>
      </c>
      <c r="CL322" s="4" t="s">
        <v>1</v>
      </c>
      <c r="CM322" t="s">
        <v>847</v>
      </c>
      <c r="CN322" s="4">
        <f>AVERAGE(190+231,77+116)</f>
        <v>307</v>
      </c>
      <c r="CO322" s="4" t="s">
        <v>1</v>
      </c>
      <c r="CP322" s="4" t="s">
        <v>1</v>
      </c>
      <c r="CQ322" s="4" t="s">
        <v>1</v>
      </c>
      <c r="CR322" s="4" t="s">
        <v>1</v>
      </c>
      <c r="CS322" s="4" t="s">
        <v>1</v>
      </c>
      <c r="CT322" s="4" t="s">
        <v>1</v>
      </c>
      <c r="CU322" s="4" t="s">
        <v>1</v>
      </c>
      <c r="CV322" t="s">
        <v>855</v>
      </c>
      <c r="CW322">
        <v>100</v>
      </c>
      <c r="CX322">
        <v>0</v>
      </c>
      <c r="CY322">
        <v>20</v>
      </c>
      <c r="CZ322" s="26" t="s">
        <v>1358</v>
      </c>
      <c r="DA322" t="s">
        <v>734</v>
      </c>
      <c r="DB322">
        <v>76</v>
      </c>
      <c r="DC322">
        <v>0</v>
      </c>
      <c r="DD322">
        <v>20</v>
      </c>
      <c r="DE322" s="26" t="s">
        <v>1358</v>
      </c>
      <c r="DF322" t="s">
        <v>735</v>
      </c>
      <c r="DG322">
        <v>15</v>
      </c>
      <c r="DH322">
        <v>0</v>
      </c>
      <c r="DI322">
        <v>20</v>
      </c>
      <c r="DJ322" s="26" t="s">
        <v>1358</v>
      </c>
      <c r="DK322" t="s">
        <v>736</v>
      </c>
      <c r="DL322">
        <v>9</v>
      </c>
      <c r="DM322">
        <v>0</v>
      </c>
      <c r="DN322">
        <v>20</v>
      </c>
      <c r="DO322" s="26" t="s">
        <v>1358</v>
      </c>
      <c r="DP322" t="s">
        <v>6</v>
      </c>
      <c r="DQ322" t="s">
        <v>813</v>
      </c>
      <c r="DR322">
        <v>6</v>
      </c>
      <c r="DS322">
        <v>0</v>
      </c>
      <c r="DT322">
        <v>20</v>
      </c>
      <c r="DU322" s="26" t="s">
        <v>1358</v>
      </c>
      <c r="EA322" t="s">
        <v>982</v>
      </c>
      <c r="EB322">
        <v>7.1</v>
      </c>
      <c r="EC322">
        <v>0</v>
      </c>
      <c r="ED322">
        <v>20</v>
      </c>
      <c r="EE322" s="26" t="s">
        <v>1358</v>
      </c>
      <c r="EF322" s="26"/>
      <c r="FZ322" t="s">
        <v>806</v>
      </c>
      <c r="GA322">
        <v>907.34341199999994</v>
      </c>
      <c r="GE322" s="26" t="s">
        <v>1358</v>
      </c>
      <c r="HA322" s="5" t="s">
        <v>1</v>
      </c>
      <c r="HB322" s="4" t="s">
        <v>1</v>
      </c>
      <c r="HC322" t="s">
        <v>1</v>
      </c>
      <c r="HD322" t="s">
        <v>1</v>
      </c>
      <c r="HE322" t="s">
        <v>1</v>
      </c>
      <c r="HF322" s="5" t="s">
        <v>1063</v>
      </c>
      <c r="HG322" s="4">
        <v>0.28532258064516125</v>
      </c>
      <c r="HH322">
        <v>0</v>
      </c>
      <c r="HI322">
        <v>20</v>
      </c>
      <c r="HJ322" s="26" t="s">
        <v>1358</v>
      </c>
      <c r="HK322" t="s">
        <v>815</v>
      </c>
      <c r="HL322">
        <v>1.52</v>
      </c>
      <c r="HM322">
        <v>0</v>
      </c>
      <c r="HN322">
        <v>20</v>
      </c>
      <c r="HO322" t="s">
        <v>1</v>
      </c>
      <c r="HP322" s="26" t="s">
        <v>1358</v>
      </c>
      <c r="HZ322" t="s">
        <v>1295</v>
      </c>
      <c r="IA322">
        <v>250</v>
      </c>
      <c r="IB322" s="5" t="s">
        <v>830</v>
      </c>
      <c r="IC322" s="5"/>
      <c r="ID322" s="5"/>
      <c r="IE322" s="10" t="s">
        <v>1</v>
      </c>
      <c r="IF322" s="10" t="s">
        <v>1</v>
      </c>
      <c r="IG322" s="10"/>
      <c r="IH322" s="10"/>
      <c r="II322" s="10"/>
      <c r="IJ322" s="10"/>
      <c r="IK322" s="10"/>
      <c r="IL322" s="10"/>
      <c r="IM322" s="10"/>
      <c r="IN322" s="10"/>
      <c r="IO322" s="10"/>
      <c r="IP322" s="10"/>
      <c r="IQ322" s="10"/>
      <c r="IR322" s="10"/>
      <c r="IS322" t="s">
        <v>1</v>
      </c>
      <c r="IT322" t="s">
        <v>1</v>
      </c>
      <c r="IW322" t="s">
        <v>1</v>
      </c>
      <c r="IX322" t="s">
        <v>1</v>
      </c>
      <c r="IY322" t="s">
        <v>808</v>
      </c>
      <c r="IZ322">
        <v>2252.5</v>
      </c>
      <c r="JA322" t="s">
        <v>1</v>
      </c>
      <c r="JB322" s="3" t="s">
        <v>1</v>
      </c>
      <c r="JC322" t="s">
        <v>1</v>
      </c>
      <c r="JD322" s="4" t="s">
        <v>1</v>
      </c>
      <c r="JE322" t="s">
        <v>810</v>
      </c>
      <c r="JF322">
        <v>100</v>
      </c>
      <c r="JR322" t="s">
        <v>1066</v>
      </c>
      <c r="JS322">
        <v>396.8</v>
      </c>
      <c r="JU322" t="s">
        <v>1</v>
      </c>
      <c r="JW322" t="s">
        <v>1</v>
      </c>
      <c r="JX322">
        <v>0</v>
      </c>
      <c r="JY322">
        <v>64.999999999999986</v>
      </c>
      <c r="JZ322" t="s">
        <v>800</v>
      </c>
      <c r="KA322" t="s">
        <v>360</v>
      </c>
      <c r="KB322" t="s">
        <v>738</v>
      </c>
      <c r="KC322" t="s">
        <v>1</v>
      </c>
      <c r="KD322" t="s">
        <v>1</v>
      </c>
      <c r="KE322" s="1" t="s">
        <v>1</v>
      </c>
      <c r="KF322" t="s">
        <v>1</v>
      </c>
      <c r="KG322" t="s">
        <v>1</v>
      </c>
      <c r="KH322" t="s">
        <v>1</v>
      </c>
      <c r="KI322" t="s">
        <v>1</v>
      </c>
      <c r="KJ322" t="s">
        <v>1</v>
      </c>
      <c r="KK322" t="s">
        <v>1</v>
      </c>
    </row>
    <row r="323" spans="1:297" x14ac:dyDescent="0.2">
      <c r="A323">
        <v>291</v>
      </c>
      <c r="B323" t="s">
        <v>705</v>
      </c>
      <c r="C323" t="s">
        <v>1331</v>
      </c>
      <c r="D323" t="s">
        <v>359</v>
      </c>
      <c r="E323">
        <v>52</v>
      </c>
      <c r="F323" t="s">
        <v>703</v>
      </c>
      <c r="G323" t="s">
        <v>1</v>
      </c>
      <c r="H323" s="26" t="s">
        <v>1420</v>
      </c>
      <c r="I323" t="s">
        <v>1</v>
      </c>
      <c r="J323" t="s">
        <v>1</v>
      </c>
      <c r="K323" t="s">
        <v>1</v>
      </c>
      <c r="L323" t="s">
        <v>1</v>
      </c>
      <c r="M323" t="s">
        <v>1</v>
      </c>
      <c r="N323" t="s">
        <v>1</v>
      </c>
      <c r="O323" t="s">
        <v>1</v>
      </c>
      <c r="P323" t="s">
        <v>1</v>
      </c>
      <c r="Q323" t="s">
        <v>1</v>
      </c>
      <c r="R323" t="s">
        <v>1</v>
      </c>
      <c r="S323" t="s">
        <v>1</v>
      </c>
      <c r="T323" t="s">
        <v>1</v>
      </c>
      <c r="U323" t="s">
        <v>1</v>
      </c>
      <c r="V323" t="s">
        <v>1</v>
      </c>
      <c r="W323" t="s">
        <v>1</v>
      </c>
      <c r="X323" t="s">
        <v>1</v>
      </c>
      <c r="Y323" t="s">
        <v>1</v>
      </c>
      <c r="Z323" t="s">
        <v>1</v>
      </c>
      <c r="AA323" t="s">
        <v>1</v>
      </c>
      <c r="AB323" t="s">
        <v>1</v>
      </c>
      <c r="AC323" t="s">
        <v>1</v>
      </c>
      <c r="AD323" t="s">
        <v>1</v>
      </c>
      <c r="AE323" t="s">
        <v>1</v>
      </c>
      <c r="AF323" t="s">
        <v>1</v>
      </c>
      <c r="AG323" t="s">
        <v>1</v>
      </c>
      <c r="AH323" t="s">
        <v>1</v>
      </c>
      <c r="AI323" t="s">
        <v>1</v>
      </c>
      <c r="AJ323" t="s">
        <v>1</v>
      </c>
      <c r="AK323" t="s">
        <v>1</v>
      </c>
      <c r="AL323" t="s">
        <v>1</v>
      </c>
      <c r="AM323" t="s">
        <v>1</v>
      </c>
      <c r="AN323">
        <v>291</v>
      </c>
      <c r="AO323">
        <f t="shared" si="45"/>
        <v>291</v>
      </c>
      <c r="AP323">
        <f t="shared" si="47"/>
        <v>52</v>
      </c>
      <c r="AQ323">
        <f t="shared" si="48"/>
        <v>52</v>
      </c>
      <c r="AR323" s="26" t="s">
        <v>1355</v>
      </c>
      <c r="AS323" s="26" t="s">
        <v>1356</v>
      </c>
      <c r="AT323" t="s">
        <v>727</v>
      </c>
      <c r="AU323" t="s">
        <v>1</v>
      </c>
      <c r="AV323" t="s">
        <v>1</v>
      </c>
      <c r="AW323">
        <v>39.82</v>
      </c>
      <c r="AX323">
        <v>-7.46</v>
      </c>
      <c r="AY323" t="s">
        <v>737</v>
      </c>
      <c r="BA323" s="3">
        <v>3</v>
      </c>
      <c r="BB323" s="3"/>
      <c r="BC323" s="3"/>
      <c r="BD323" s="3"/>
      <c r="BE323" s="3"/>
      <c r="BF323">
        <v>2008</v>
      </c>
      <c r="BG323" s="24" t="s">
        <v>733</v>
      </c>
      <c r="BH323" s="24" t="s">
        <v>733</v>
      </c>
      <c r="BI323" s="24" t="s">
        <v>733</v>
      </c>
      <c r="BJ323" s="24" t="s">
        <v>732</v>
      </c>
      <c r="BK323" s="24" t="s">
        <v>733</v>
      </c>
      <c r="BL323" s="25" t="s">
        <v>733</v>
      </c>
      <c r="BM323" s="24" t="s">
        <v>733</v>
      </c>
      <c r="BN323" s="24" t="s">
        <v>732</v>
      </c>
      <c r="BO323" s="24" t="s">
        <v>733</v>
      </c>
      <c r="BP323" s="24" t="s">
        <v>733</v>
      </c>
      <c r="BQ323" s="24" t="s">
        <v>945</v>
      </c>
      <c r="BR323" s="24" t="s">
        <v>945</v>
      </c>
      <c r="BS323" s="25" t="s">
        <v>934</v>
      </c>
      <c r="BT323" s="24" t="s">
        <v>934</v>
      </c>
      <c r="BU323" s="24" t="s">
        <v>934</v>
      </c>
      <c r="BV323" s="24" t="s">
        <v>934</v>
      </c>
      <c r="BW323" s="24" t="s">
        <v>934</v>
      </c>
      <c r="BX323" s="24" t="s">
        <v>934</v>
      </c>
      <c r="BY323" s="25" t="s">
        <v>945</v>
      </c>
      <c r="BZ323" t="s">
        <v>1397</v>
      </c>
      <c r="CB323" t="s">
        <v>1389</v>
      </c>
      <c r="CC323" s="4" t="s">
        <v>1</v>
      </c>
      <c r="CD323" s="4"/>
      <c r="CE323" s="4"/>
      <c r="CF323" t="s">
        <v>1</v>
      </c>
      <c r="CG323" t="s">
        <v>1</v>
      </c>
      <c r="CH323" t="s">
        <v>805</v>
      </c>
      <c r="CI323" s="28">
        <f t="shared" si="49"/>
        <v>1.25</v>
      </c>
      <c r="CJ323" s="10" t="s">
        <v>1442</v>
      </c>
      <c r="CK323" s="9" t="s">
        <v>1</v>
      </c>
      <c r="CL323" s="4" t="s">
        <v>1</v>
      </c>
      <c r="CM323" t="s">
        <v>847</v>
      </c>
      <c r="CN323" s="4">
        <f>AVERAGE(188+309,48+100)</f>
        <v>322.5</v>
      </c>
      <c r="CO323" s="4" t="s">
        <v>1</v>
      </c>
      <c r="CP323" s="4" t="s">
        <v>1</v>
      </c>
      <c r="CQ323" s="4" t="s">
        <v>1</v>
      </c>
      <c r="CR323" s="4" t="s">
        <v>1</v>
      </c>
      <c r="CS323" s="4" t="s">
        <v>1</v>
      </c>
      <c r="CT323" s="4" t="s">
        <v>1</v>
      </c>
      <c r="CU323" s="4" t="s">
        <v>1</v>
      </c>
      <c r="CV323" t="s">
        <v>855</v>
      </c>
      <c r="CW323">
        <v>100</v>
      </c>
      <c r="CX323">
        <v>0</v>
      </c>
      <c r="CY323">
        <v>20</v>
      </c>
      <c r="CZ323" s="26" t="s">
        <v>1358</v>
      </c>
      <c r="DA323" t="s">
        <v>734</v>
      </c>
      <c r="DB323">
        <v>76</v>
      </c>
      <c r="DC323">
        <v>0</v>
      </c>
      <c r="DD323">
        <v>20</v>
      </c>
      <c r="DE323" s="26" t="s">
        <v>1358</v>
      </c>
      <c r="DF323" t="s">
        <v>735</v>
      </c>
      <c r="DG323">
        <v>15</v>
      </c>
      <c r="DH323">
        <v>0</v>
      </c>
      <c r="DI323">
        <v>20</v>
      </c>
      <c r="DJ323" s="26" t="s">
        <v>1358</v>
      </c>
      <c r="DK323" t="s">
        <v>736</v>
      </c>
      <c r="DL323">
        <v>9</v>
      </c>
      <c r="DM323">
        <v>0</v>
      </c>
      <c r="DN323">
        <v>20</v>
      </c>
      <c r="DO323" s="26" t="s">
        <v>1358</v>
      </c>
      <c r="DP323" t="s">
        <v>6</v>
      </c>
      <c r="DQ323" t="s">
        <v>813</v>
      </c>
      <c r="DR323">
        <v>6</v>
      </c>
      <c r="DS323">
        <v>0</v>
      </c>
      <c r="DT323">
        <v>20</v>
      </c>
      <c r="DU323" s="26" t="s">
        <v>1358</v>
      </c>
      <c r="EA323" t="s">
        <v>982</v>
      </c>
      <c r="EB323">
        <v>7.1</v>
      </c>
      <c r="EC323">
        <v>0</v>
      </c>
      <c r="ED323">
        <v>20</v>
      </c>
      <c r="EE323" s="26" t="s">
        <v>1358</v>
      </c>
      <c r="EF323" s="26"/>
      <c r="FZ323" t="s">
        <v>806</v>
      </c>
      <c r="GA323">
        <v>907.34341199999994</v>
      </c>
      <c r="GE323" s="26" t="s">
        <v>1358</v>
      </c>
      <c r="HA323" s="5" t="s">
        <v>1</v>
      </c>
      <c r="HB323" s="4" t="s">
        <v>1</v>
      </c>
      <c r="HC323" t="s">
        <v>1</v>
      </c>
      <c r="HD323" t="s">
        <v>1</v>
      </c>
      <c r="HE323" t="s">
        <v>1</v>
      </c>
      <c r="HF323" s="5" t="s">
        <v>1063</v>
      </c>
      <c r="HG323" s="4">
        <v>0.28532258064516125</v>
      </c>
      <c r="HH323">
        <v>0</v>
      </c>
      <c r="HI323">
        <v>20</v>
      </c>
      <c r="HJ323" s="26" t="s">
        <v>1358</v>
      </c>
      <c r="HK323" t="s">
        <v>815</v>
      </c>
      <c r="HL323">
        <v>1.52</v>
      </c>
      <c r="HM323">
        <v>0</v>
      </c>
      <c r="HN323">
        <v>20</v>
      </c>
      <c r="HO323" t="s">
        <v>1</v>
      </c>
      <c r="HP323" s="26" t="s">
        <v>1358</v>
      </c>
      <c r="HZ323" t="s">
        <v>1295</v>
      </c>
      <c r="IA323">
        <v>250</v>
      </c>
      <c r="IB323" s="5" t="s">
        <v>831</v>
      </c>
      <c r="IC323" s="5"/>
      <c r="ID323" s="5"/>
      <c r="IE323" s="10" t="s">
        <v>843</v>
      </c>
      <c r="IF323" s="10" t="b">
        <v>1</v>
      </c>
      <c r="IG323" s="10"/>
      <c r="IH323" s="10"/>
      <c r="II323" s="10"/>
      <c r="IJ323" s="10"/>
      <c r="IK323" s="10"/>
      <c r="IL323" s="10"/>
      <c r="IM323" s="10"/>
      <c r="IN323" s="10"/>
      <c r="IO323" s="10"/>
      <c r="IP323" s="10"/>
      <c r="IQ323" s="10"/>
      <c r="IR323" s="10"/>
      <c r="IS323" t="s">
        <v>1</v>
      </c>
      <c r="IT323" t="s">
        <v>1</v>
      </c>
      <c r="IW323" t="s">
        <v>1</v>
      </c>
      <c r="IX323" t="s">
        <v>1</v>
      </c>
      <c r="IY323" t="s">
        <v>808</v>
      </c>
      <c r="IZ323">
        <v>2252.5</v>
      </c>
      <c r="JA323" t="s">
        <v>1</v>
      </c>
      <c r="JB323" s="3" t="s">
        <v>1</v>
      </c>
      <c r="JC323" t="s">
        <v>1</v>
      </c>
      <c r="JD323" s="4" t="s">
        <v>1</v>
      </c>
      <c r="JE323" t="s">
        <v>810</v>
      </c>
      <c r="JF323">
        <v>100</v>
      </c>
      <c r="JR323" t="s">
        <v>1066</v>
      </c>
      <c r="JS323">
        <v>508.2</v>
      </c>
      <c r="JU323" t="s">
        <v>1</v>
      </c>
      <c r="JW323" t="s">
        <v>1</v>
      </c>
      <c r="JX323">
        <v>0</v>
      </c>
      <c r="JY323">
        <v>64.999999999999986</v>
      </c>
      <c r="JZ323" t="s">
        <v>800</v>
      </c>
      <c r="KA323" t="s">
        <v>360</v>
      </c>
      <c r="KB323" t="s">
        <v>738</v>
      </c>
      <c r="KC323" t="s">
        <v>1</v>
      </c>
      <c r="KD323" t="s">
        <v>1</v>
      </c>
      <c r="KE323" s="1" t="s">
        <v>1</v>
      </c>
      <c r="KF323" t="s">
        <v>1</v>
      </c>
      <c r="KG323" t="s">
        <v>1</v>
      </c>
      <c r="KH323" t="s">
        <v>1</v>
      </c>
      <c r="KI323" t="s">
        <v>1</v>
      </c>
      <c r="KJ323" t="s">
        <v>1</v>
      </c>
      <c r="KK323" t="s">
        <v>1</v>
      </c>
    </row>
    <row r="324" spans="1:297" x14ac:dyDescent="0.2">
      <c r="A324">
        <v>292</v>
      </c>
      <c r="B324" t="s">
        <v>705</v>
      </c>
      <c r="C324" t="s">
        <v>361</v>
      </c>
      <c r="D324" t="s">
        <v>359</v>
      </c>
      <c r="E324">
        <v>52</v>
      </c>
      <c r="F324" t="s">
        <v>703</v>
      </c>
      <c r="G324" t="s">
        <v>1</v>
      </c>
      <c r="H324" s="26" t="s">
        <v>1420</v>
      </c>
      <c r="I324" t="s">
        <v>1</v>
      </c>
      <c r="J324" t="s">
        <v>1</v>
      </c>
      <c r="K324" t="s">
        <v>1</v>
      </c>
      <c r="L324" t="s">
        <v>1</v>
      </c>
      <c r="M324" t="s">
        <v>1</v>
      </c>
      <c r="N324" t="s">
        <v>1</v>
      </c>
      <c r="O324" t="s">
        <v>1</v>
      </c>
      <c r="P324" t="s">
        <v>1</v>
      </c>
      <c r="Q324" t="s">
        <v>1</v>
      </c>
      <c r="R324" t="s">
        <v>1</v>
      </c>
      <c r="S324" t="s">
        <v>1</v>
      </c>
      <c r="T324" t="s">
        <v>1</v>
      </c>
      <c r="U324" t="s">
        <v>1</v>
      </c>
      <c r="V324" t="s">
        <v>1</v>
      </c>
      <c r="W324" t="s">
        <v>1</v>
      </c>
      <c r="X324" t="s">
        <v>1</v>
      </c>
      <c r="Y324" t="s">
        <v>1</v>
      </c>
      <c r="Z324" t="s">
        <v>1</v>
      </c>
      <c r="AA324" t="s">
        <v>1</v>
      </c>
      <c r="AB324" t="s">
        <v>1</v>
      </c>
      <c r="AC324" t="s">
        <v>1</v>
      </c>
      <c r="AD324" t="s">
        <v>1</v>
      </c>
      <c r="AE324" t="s">
        <v>1</v>
      </c>
      <c r="AF324" t="s">
        <v>1</v>
      </c>
      <c r="AG324" t="s">
        <v>1</v>
      </c>
      <c r="AH324" t="s">
        <v>1</v>
      </c>
      <c r="AI324" t="s">
        <v>1</v>
      </c>
      <c r="AJ324" t="s">
        <v>1</v>
      </c>
      <c r="AK324" t="s">
        <v>1</v>
      </c>
      <c r="AL324" t="s">
        <v>1</v>
      </c>
      <c r="AM324" t="s">
        <v>1</v>
      </c>
      <c r="AN324">
        <v>292</v>
      </c>
      <c r="AO324">
        <f t="shared" si="45"/>
        <v>292</v>
      </c>
      <c r="AP324">
        <f t="shared" si="47"/>
        <v>52</v>
      </c>
      <c r="AQ324">
        <f t="shared" si="48"/>
        <v>52</v>
      </c>
      <c r="AR324" s="26" t="s">
        <v>1355</v>
      </c>
      <c r="AS324" s="26" t="s">
        <v>1356</v>
      </c>
      <c r="AT324" t="s">
        <v>727</v>
      </c>
      <c r="AU324" t="s">
        <v>1</v>
      </c>
      <c r="AV324" t="s">
        <v>1</v>
      </c>
      <c r="AW324">
        <v>39.82</v>
      </c>
      <c r="AX324">
        <v>-7.46</v>
      </c>
      <c r="AY324" t="s">
        <v>737</v>
      </c>
      <c r="BA324" s="3">
        <v>3</v>
      </c>
      <c r="BB324" s="3"/>
      <c r="BC324" s="3"/>
      <c r="BD324" s="3"/>
      <c r="BE324" s="3"/>
      <c r="BF324">
        <v>2008</v>
      </c>
      <c r="BG324" s="24" t="s">
        <v>733</v>
      </c>
      <c r="BH324" s="24" t="s">
        <v>733</v>
      </c>
      <c r="BI324" s="24" t="s">
        <v>733</v>
      </c>
      <c r="BJ324" s="24" t="s">
        <v>732</v>
      </c>
      <c r="BK324" s="24" t="s">
        <v>733</v>
      </c>
      <c r="BL324" s="25" t="s">
        <v>733</v>
      </c>
      <c r="BM324" s="24" t="s">
        <v>733</v>
      </c>
      <c r="BN324" s="24" t="s">
        <v>732</v>
      </c>
      <c r="BO324" s="24" t="s">
        <v>733</v>
      </c>
      <c r="BP324" s="24" t="s">
        <v>733</v>
      </c>
      <c r="BQ324" s="24" t="s">
        <v>945</v>
      </c>
      <c r="BR324" s="24" t="s">
        <v>945</v>
      </c>
      <c r="BS324" s="25" t="s">
        <v>934</v>
      </c>
      <c r="BT324" s="24" t="s">
        <v>934</v>
      </c>
      <c r="BU324" s="24" t="s">
        <v>934</v>
      </c>
      <c r="BV324" s="24" t="s">
        <v>934</v>
      </c>
      <c r="BW324" s="24" t="s">
        <v>934</v>
      </c>
      <c r="BX324" s="24" t="s">
        <v>934</v>
      </c>
      <c r="BY324" s="25" t="s">
        <v>945</v>
      </c>
      <c r="BZ324" t="s">
        <v>1397</v>
      </c>
      <c r="CB324" t="s">
        <v>1389</v>
      </c>
      <c r="CC324" s="4" t="s">
        <v>1</v>
      </c>
      <c r="CD324" s="4"/>
      <c r="CE324" s="4"/>
      <c r="CF324" t="s">
        <v>1</v>
      </c>
      <c r="CG324" t="s">
        <v>1</v>
      </c>
      <c r="CH324" t="s">
        <v>805</v>
      </c>
      <c r="CI324" s="28">
        <f t="shared" si="49"/>
        <v>1.25</v>
      </c>
      <c r="CJ324" s="10" t="s">
        <v>1442</v>
      </c>
      <c r="CK324" s="9" t="s">
        <v>1</v>
      </c>
      <c r="CL324" s="4" t="s">
        <v>1</v>
      </c>
      <c r="CM324" t="s">
        <v>847</v>
      </c>
      <c r="CN324" s="4">
        <f>AVERAGE(156+169,30+56)</f>
        <v>205.5</v>
      </c>
      <c r="CO324" s="4" t="s">
        <v>1</v>
      </c>
      <c r="CP324" s="4" t="s">
        <v>1</v>
      </c>
      <c r="CQ324" s="4" t="s">
        <v>1</v>
      </c>
      <c r="CR324" s="4" t="s">
        <v>1</v>
      </c>
      <c r="CS324" s="4" t="s">
        <v>1</v>
      </c>
      <c r="CT324" s="4" t="s">
        <v>1</v>
      </c>
      <c r="CU324" s="4" t="s">
        <v>1</v>
      </c>
      <c r="CV324" t="s">
        <v>855</v>
      </c>
      <c r="CW324">
        <v>100</v>
      </c>
      <c r="CX324">
        <v>0</v>
      </c>
      <c r="CY324">
        <v>20</v>
      </c>
      <c r="CZ324" s="26" t="s">
        <v>1358</v>
      </c>
      <c r="DA324" t="s">
        <v>734</v>
      </c>
      <c r="DB324">
        <v>76</v>
      </c>
      <c r="DC324">
        <v>0</v>
      </c>
      <c r="DD324">
        <v>20</v>
      </c>
      <c r="DE324" s="26" t="s">
        <v>1358</v>
      </c>
      <c r="DF324" t="s">
        <v>735</v>
      </c>
      <c r="DG324">
        <v>15</v>
      </c>
      <c r="DH324">
        <v>0</v>
      </c>
      <c r="DI324">
        <v>20</v>
      </c>
      <c r="DJ324" s="26" t="s">
        <v>1358</v>
      </c>
      <c r="DK324" t="s">
        <v>736</v>
      </c>
      <c r="DL324">
        <v>9</v>
      </c>
      <c r="DM324">
        <v>0</v>
      </c>
      <c r="DN324">
        <v>20</v>
      </c>
      <c r="DO324" s="26" t="s">
        <v>1358</v>
      </c>
      <c r="DP324" t="s">
        <v>6</v>
      </c>
      <c r="DQ324" t="s">
        <v>813</v>
      </c>
      <c r="DR324">
        <v>6</v>
      </c>
      <c r="DS324">
        <v>0</v>
      </c>
      <c r="DT324">
        <v>20</v>
      </c>
      <c r="DU324" s="26" t="s">
        <v>1358</v>
      </c>
      <c r="EA324" t="s">
        <v>982</v>
      </c>
      <c r="EB324">
        <v>7.1</v>
      </c>
      <c r="EC324">
        <v>0</v>
      </c>
      <c r="ED324">
        <v>20</v>
      </c>
      <c r="EE324" s="26" t="s">
        <v>1358</v>
      </c>
      <c r="EF324" s="26"/>
      <c r="FZ324" t="s">
        <v>806</v>
      </c>
      <c r="GA324">
        <v>907.34341199999994</v>
      </c>
      <c r="GE324" s="26" t="s">
        <v>1358</v>
      </c>
      <c r="HA324" s="5" t="s">
        <v>1</v>
      </c>
      <c r="HB324" s="4" t="s">
        <v>1</v>
      </c>
      <c r="HC324" t="s">
        <v>1</v>
      </c>
      <c r="HD324" t="s">
        <v>1</v>
      </c>
      <c r="HE324" t="s">
        <v>1</v>
      </c>
      <c r="HF324" s="5" t="s">
        <v>1063</v>
      </c>
      <c r="HG324" s="4">
        <v>0.28532258064516125</v>
      </c>
      <c r="HH324">
        <v>0</v>
      </c>
      <c r="HI324">
        <v>20</v>
      </c>
      <c r="HJ324" s="26" t="s">
        <v>1358</v>
      </c>
      <c r="HK324" t="s">
        <v>815</v>
      </c>
      <c r="HL324">
        <v>1.52</v>
      </c>
      <c r="HM324">
        <v>0</v>
      </c>
      <c r="HN324">
        <v>20</v>
      </c>
      <c r="HO324" t="s">
        <v>1</v>
      </c>
      <c r="HP324" s="26" t="s">
        <v>1358</v>
      </c>
      <c r="HZ324" t="s">
        <v>1</v>
      </c>
      <c r="IA324" t="s">
        <v>1</v>
      </c>
      <c r="IB324" s="10" t="s">
        <v>1</v>
      </c>
      <c r="IC324" s="10"/>
      <c r="ID324" s="10"/>
      <c r="IE324" s="10" t="s">
        <v>1</v>
      </c>
      <c r="IF324" s="10" t="s">
        <v>1</v>
      </c>
      <c r="IG324" s="10"/>
      <c r="IH324" s="10"/>
      <c r="II324" s="10"/>
      <c r="IJ324" s="10"/>
      <c r="IK324" s="10"/>
      <c r="IL324" s="10"/>
      <c r="IM324" s="10"/>
      <c r="IN324" s="10"/>
      <c r="IO324" s="10"/>
      <c r="IP324" s="10"/>
      <c r="IQ324" s="10"/>
      <c r="IR324" s="10"/>
      <c r="IS324" t="s">
        <v>1</v>
      </c>
      <c r="IT324" t="s">
        <v>1</v>
      </c>
      <c r="IW324" t="s">
        <v>979</v>
      </c>
      <c r="IX324">
        <v>250</v>
      </c>
      <c r="IY324" t="s">
        <v>808</v>
      </c>
      <c r="IZ324">
        <v>2252.5</v>
      </c>
      <c r="JA324" t="s">
        <v>1</v>
      </c>
      <c r="JB324" s="3" t="s">
        <v>1</v>
      </c>
      <c r="JC324" t="s">
        <v>1</v>
      </c>
      <c r="JD324" s="4" t="s">
        <v>1</v>
      </c>
      <c r="JE324" t="s">
        <v>810</v>
      </c>
      <c r="JF324">
        <v>100</v>
      </c>
      <c r="JR324" t="s">
        <v>1066</v>
      </c>
      <c r="JS324">
        <v>234.6</v>
      </c>
      <c r="JU324" t="s">
        <v>1</v>
      </c>
      <c r="JW324" t="s">
        <v>1</v>
      </c>
      <c r="JX324">
        <v>0</v>
      </c>
      <c r="JY324">
        <v>64.999999999999986</v>
      </c>
      <c r="JZ324" t="s">
        <v>800</v>
      </c>
      <c r="KA324" t="s">
        <v>360</v>
      </c>
      <c r="KB324" t="s">
        <v>738</v>
      </c>
      <c r="KC324" t="s">
        <v>1</v>
      </c>
      <c r="KD324" t="s">
        <v>1</v>
      </c>
      <c r="KE324" s="1" t="s">
        <v>1</v>
      </c>
      <c r="KF324" t="s">
        <v>1</v>
      </c>
      <c r="KG324" t="s">
        <v>1</v>
      </c>
      <c r="KH324" t="s">
        <v>1</v>
      </c>
      <c r="KI324" t="s">
        <v>1</v>
      </c>
      <c r="KJ324" t="s">
        <v>1</v>
      </c>
      <c r="KK324" t="s">
        <v>1</v>
      </c>
    </row>
    <row r="325" spans="1:297" x14ac:dyDescent="0.2">
      <c r="A325">
        <v>293</v>
      </c>
      <c r="B325" t="s">
        <v>705</v>
      </c>
      <c r="C325" t="s">
        <v>362</v>
      </c>
      <c r="D325" t="s">
        <v>359</v>
      </c>
      <c r="E325">
        <v>52</v>
      </c>
      <c r="F325" t="s">
        <v>703</v>
      </c>
      <c r="G325" t="s">
        <v>1</v>
      </c>
      <c r="H325" s="26" t="s">
        <v>1420</v>
      </c>
      <c r="I325" t="s">
        <v>1</v>
      </c>
      <c r="J325" t="s">
        <v>1</v>
      </c>
      <c r="K325" t="s">
        <v>1</v>
      </c>
      <c r="L325" t="s">
        <v>1</v>
      </c>
      <c r="M325" t="s">
        <v>1</v>
      </c>
      <c r="N325" t="s">
        <v>1</v>
      </c>
      <c r="O325" t="s">
        <v>1</v>
      </c>
      <c r="P325" t="s">
        <v>1</v>
      </c>
      <c r="Q325" t="s">
        <v>1</v>
      </c>
      <c r="R325" t="s">
        <v>1</v>
      </c>
      <c r="S325" t="s">
        <v>1</v>
      </c>
      <c r="T325" t="s">
        <v>1</v>
      </c>
      <c r="U325" t="s">
        <v>1</v>
      </c>
      <c r="V325" t="s">
        <v>1</v>
      </c>
      <c r="W325" t="s">
        <v>1</v>
      </c>
      <c r="X325" t="s">
        <v>1</v>
      </c>
      <c r="Y325" t="s">
        <v>1</v>
      </c>
      <c r="Z325" t="s">
        <v>1</v>
      </c>
      <c r="AA325" t="s">
        <v>1</v>
      </c>
      <c r="AB325" t="s">
        <v>1</v>
      </c>
      <c r="AC325" t="s">
        <v>1</v>
      </c>
      <c r="AD325" t="s">
        <v>1</v>
      </c>
      <c r="AE325" t="s">
        <v>1</v>
      </c>
      <c r="AF325" t="s">
        <v>1</v>
      </c>
      <c r="AG325" t="s">
        <v>1</v>
      </c>
      <c r="AH325" t="s">
        <v>1</v>
      </c>
      <c r="AI325" t="s">
        <v>1</v>
      </c>
      <c r="AJ325" t="s">
        <v>1</v>
      </c>
      <c r="AK325" t="s">
        <v>1</v>
      </c>
      <c r="AL325" t="s">
        <v>1</v>
      </c>
      <c r="AM325" t="s">
        <v>1</v>
      </c>
      <c r="AN325">
        <v>293</v>
      </c>
      <c r="AO325">
        <f t="shared" si="45"/>
        <v>293</v>
      </c>
      <c r="AP325">
        <f t="shared" si="47"/>
        <v>52</v>
      </c>
      <c r="AQ325">
        <f t="shared" si="48"/>
        <v>52</v>
      </c>
      <c r="AR325" s="26" t="s">
        <v>1355</v>
      </c>
      <c r="AS325" s="26" t="s">
        <v>1356</v>
      </c>
      <c r="AT325" t="s">
        <v>727</v>
      </c>
      <c r="AU325" t="s">
        <v>1</v>
      </c>
      <c r="AV325" t="s">
        <v>1</v>
      </c>
      <c r="AW325">
        <v>39.82</v>
      </c>
      <c r="AX325">
        <v>-7.46</v>
      </c>
      <c r="AY325" t="s">
        <v>737</v>
      </c>
      <c r="BA325" s="3">
        <v>3</v>
      </c>
      <c r="BB325" s="3"/>
      <c r="BC325" s="3"/>
      <c r="BD325" s="3"/>
      <c r="BE325" s="3"/>
      <c r="BF325">
        <v>2008</v>
      </c>
      <c r="BG325" s="24" t="s">
        <v>733</v>
      </c>
      <c r="BH325" s="24" t="s">
        <v>733</v>
      </c>
      <c r="BI325" s="24" t="s">
        <v>733</v>
      </c>
      <c r="BJ325" s="24" t="s">
        <v>732</v>
      </c>
      <c r="BK325" s="24" t="s">
        <v>733</v>
      </c>
      <c r="BL325" s="25" t="s">
        <v>733</v>
      </c>
      <c r="BM325" s="24" t="s">
        <v>733</v>
      </c>
      <c r="BN325" s="24" t="s">
        <v>732</v>
      </c>
      <c r="BO325" s="24" t="s">
        <v>733</v>
      </c>
      <c r="BP325" s="24" t="s">
        <v>733</v>
      </c>
      <c r="BQ325" s="24" t="s">
        <v>945</v>
      </c>
      <c r="BR325" s="24" t="s">
        <v>945</v>
      </c>
      <c r="BS325" s="25" t="s">
        <v>934</v>
      </c>
      <c r="BT325" s="24" t="s">
        <v>934</v>
      </c>
      <c r="BU325" s="24" t="s">
        <v>934</v>
      </c>
      <c r="BV325" s="24" t="s">
        <v>934</v>
      </c>
      <c r="BW325" s="24" t="s">
        <v>934</v>
      </c>
      <c r="BX325" s="24" t="s">
        <v>934</v>
      </c>
      <c r="BY325" s="25" t="s">
        <v>945</v>
      </c>
      <c r="BZ325" t="s">
        <v>1397</v>
      </c>
      <c r="CB325" t="s">
        <v>1389</v>
      </c>
      <c r="CC325" s="4" t="s">
        <v>1</v>
      </c>
      <c r="CD325" s="4"/>
      <c r="CE325" s="4"/>
      <c r="CF325" t="s">
        <v>1</v>
      </c>
      <c r="CG325" t="s">
        <v>1</v>
      </c>
      <c r="CH325" t="s">
        <v>805</v>
      </c>
      <c r="CI325" s="28">
        <f t="shared" si="49"/>
        <v>1.25</v>
      </c>
      <c r="CJ325" s="10" t="s">
        <v>1442</v>
      </c>
      <c r="CK325" s="9" t="s">
        <v>1</v>
      </c>
      <c r="CL325" s="4" t="s">
        <v>1</v>
      </c>
      <c r="CM325" t="s">
        <v>847</v>
      </c>
      <c r="CN325" s="4">
        <f>AVERAGE(113+214,40+79)</f>
        <v>223</v>
      </c>
      <c r="CO325" s="4" t="s">
        <v>1</v>
      </c>
      <c r="CP325" s="4" t="s">
        <v>1</v>
      </c>
      <c r="CQ325" s="4" t="s">
        <v>1</v>
      </c>
      <c r="CR325" s="4" t="s">
        <v>1</v>
      </c>
      <c r="CS325" s="4" t="s">
        <v>1</v>
      </c>
      <c r="CT325" s="4" t="s">
        <v>1</v>
      </c>
      <c r="CU325" s="4" t="s">
        <v>1</v>
      </c>
      <c r="CV325" t="s">
        <v>855</v>
      </c>
      <c r="CW325">
        <v>100</v>
      </c>
      <c r="CX325">
        <v>0</v>
      </c>
      <c r="CY325">
        <v>20</v>
      </c>
      <c r="CZ325" s="26" t="s">
        <v>1358</v>
      </c>
      <c r="DA325" t="s">
        <v>734</v>
      </c>
      <c r="DB325">
        <v>76</v>
      </c>
      <c r="DC325">
        <v>0</v>
      </c>
      <c r="DD325">
        <v>20</v>
      </c>
      <c r="DE325" s="26" t="s">
        <v>1358</v>
      </c>
      <c r="DF325" t="s">
        <v>735</v>
      </c>
      <c r="DG325">
        <v>15</v>
      </c>
      <c r="DH325">
        <v>0</v>
      </c>
      <c r="DI325">
        <v>20</v>
      </c>
      <c r="DJ325" s="26" t="s">
        <v>1358</v>
      </c>
      <c r="DK325" t="s">
        <v>736</v>
      </c>
      <c r="DL325">
        <v>9</v>
      </c>
      <c r="DM325">
        <v>0</v>
      </c>
      <c r="DN325">
        <v>20</v>
      </c>
      <c r="DO325" s="26" t="s">
        <v>1358</v>
      </c>
      <c r="DP325" t="s">
        <v>6</v>
      </c>
      <c r="DQ325" t="s">
        <v>813</v>
      </c>
      <c r="DR325">
        <v>6</v>
      </c>
      <c r="DS325">
        <v>0</v>
      </c>
      <c r="DT325">
        <v>20</v>
      </c>
      <c r="DU325" s="26" t="s">
        <v>1358</v>
      </c>
      <c r="EA325" t="s">
        <v>982</v>
      </c>
      <c r="EB325">
        <v>7.1</v>
      </c>
      <c r="EC325">
        <v>0</v>
      </c>
      <c r="ED325">
        <v>20</v>
      </c>
      <c r="EE325" s="26" t="s">
        <v>1358</v>
      </c>
      <c r="EF325" s="26"/>
      <c r="FZ325" t="s">
        <v>806</v>
      </c>
      <c r="GA325">
        <v>907.34341199999994</v>
      </c>
      <c r="GE325" s="26" t="s">
        <v>1358</v>
      </c>
      <c r="HA325" s="5" t="s">
        <v>1</v>
      </c>
      <c r="HB325" s="4" t="s">
        <v>1</v>
      </c>
      <c r="HC325" t="s">
        <v>1</v>
      </c>
      <c r="HD325" t="s">
        <v>1</v>
      </c>
      <c r="HE325" t="s">
        <v>1</v>
      </c>
      <c r="HF325" s="5" t="s">
        <v>1063</v>
      </c>
      <c r="HG325" s="4">
        <v>0.28532258064516125</v>
      </c>
      <c r="HH325">
        <v>0</v>
      </c>
      <c r="HI325">
        <v>20</v>
      </c>
      <c r="HJ325" s="26" t="s">
        <v>1358</v>
      </c>
      <c r="HK325" t="s">
        <v>815</v>
      </c>
      <c r="HL325">
        <v>1.52</v>
      </c>
      <c r="HM325">
        <v>0</v>
      </c>
      <c r="HN325">
        <v>20</v>
      </c>
      <c r="HO325" t="s">
        <v>1</v>
      </c>
      <c r="HP325" s="26" t="s">
        <v>1358</v>
      </c>
      <c r="HZ325" t="s">
        <v>1</v>
      </c>
      <c r="IA325" t="s">
        <v>1</v>
      </c>
      <c r="IB325" s="10" t="s">
        <v>1</v>
      </c>
      <c r="IC325" s="10"/>
      <c r="ID325" s="10"/>
      <c r="IE325" s="10" t="s">
        <v>1</v>
      </c>
      <c r="IF325" s="10" t="s">
        <v>1</v>
      </c>
      <c r="IG325" s="10"/>
      <c r="IH325" s="10"/>
      <c r="II325" s="10"/>
      <c r="IJ325" s="10"/>
      <c r="IK325" s="10"/>
      <c r="IL325" s="10"/>
      <c r="IM325" s="10"/>
      <c r="IN325" s="10"/>
      <c r="IO325" s="10"/>
      <c r="IP325" s="10"/>
      <c r="IQ325" s="10"/>
      <c r="IR325" s="10"/>
      <c r="IS325" t="s">
        <v>1</v>
      </c>
      <c r="IT325" t="s">
        <v>1</v>
      </c>
      <c r="IW325" t="s">
        <v>979</v>
      </c>
      <c r="IX325">
        <v>250</v>
      </c>
      <c r="IY325" t="s">
        <v>808</v>
      </c>
      <c r="IZ325">
        <v>2252.5</v>
      </c>
      <c r="JA325" t="s">
        <v>1</v>
      </c>
      <c r="JB325" s="3" t="s">
        <v>1</v>
      </c>
      <c r="JC325" t="s">
        <v>1</v>
      </c>
      <c r="JD325" s="4" t="s">
        <v>1</v>
      </c>
      <c r="JE325" t="s">
        <v>810</v>
      </c>
      <c r="JF325">
        <v>100</v>
      </c>
      <c r="JR325" t="s">
        <v>1066</v>
      </c>
      <c r="JS325">
        <v>314.10000000000002</v>
      </c>
      <c r="JU325" t="s">
        <v>1</v>
      </c>
      <c r="JW325" t="s">
        <v>1</v>
      </c>
      <c r="JX325">
        <v>0</v>
      </c>
      <c r="JY325">
        <v>64.999999999999986</v>
      </c>
      <c r="JZ325" t="s">
        <v>800</v>
      </c>
      <c r="KA325" t="s">
        <v>360</v>
      </c>
      <c r="KB325" t="s">
        <v>738</v>
      </c>
      <c r="KC325" t="s">
        <v>1</v>
      </c>
      <c r="KD325" t="s">
        <v>1</v>
      </c>
      <c r="KE325" s="1" t="s">
        <v>1</v>
      </c>
      <c r="KF325" t="s">
        <v>1</v>
      </c>
      <c r="KG325" t="s">
        <v>1</v>
      </c>
      <c r="KH325" t="s">
        <v>1</v>
      </c>
      <c r="KI325" t="s">
        <v>1</v>
      </c>
      <c r="KJ325" t="s">
        <v>1</v>
      </c>
      <c r="KK325" t="s">
        <v>1</v>
      </c>
    </row>
    <row r="326" spans="1:297" x14ac:dyDescent="0.2">
      <c r="A326">
        <v>294</v>
      </c>
      <c r="B326" t="s">
        <v>705</v>
      </c>
      <c r="C326" t="s">
        <v>1332</v>
      </c>
      <c r="D326" t="s">
        <v>359</v>
      </c>
      <c r="E326">
        <v>52</v>
      </c>
      <c r="F326" t="s">
        <v>703</v>
      </c>
      <c r="G326" t="s">
        <v>1</v>
      </c>
      <c r="H326" s="26" t="s">
        <v>1420</v>
      </c>
      <c r="I326" t="s">
        <v>1</v>
      </c>
      <c r="J326" t="s">
        <v>1</v>
      </c>
      <c r="K326" t="s">
        <v>1</v>
      </c>
      <c r="L326" t="s">
        <v>1</v>
      </c>
      <c r="M326" t="s">
        <v>1</v>
      </c>
      <c r="N326" t="s">
        <v>1</v>
      </c>
      <c r="O326" t="s">
        <v>1</v>
      </c>
      <c r="P326" t="s">
        <v>1</v>
      </c>
      <c r="Q326" t="s">
        <v>1</v>
      </c>
      <c r="R326" t="s">
        <v>1</v>
      </c>
      <c r="S326" t="s">
        <v>1</v>
      </c>
      <c r="T326" t="s">
        <v>1</v>
      </c>
      <c r="U326" t="s">
        <v>1</v>
      </c>
      <c r="V326" t="s">
        <v>1</v>
      </c>
      <c r="W326" t="s">
        <v>1</v>
      </c>
      <c r="X326" t="s">
        <v>1</v>
      </c>
      <c r="Y326" t="s">
        <v>1</v>
      </c>
      <c r="Z326" t="s">
        <v>1</v>
      </c>
      <c r="AA326" t="s">
        <v>1</v>
      </c>
      <c r="AB326" t="s">
        <v>1</v>
      </c>
      <c r="AC326" t="s">
        <v>1</v>
      </c>
      <c r="AD326" t="s">
        <v>1</v>
      </c>
      <c r="AE326" t="s">
        <v>1</v>
      </c>
      <c r="AF326" t="s">
        <v>1</v>
      </c>
      <c r="AG326" t="s">
        <v>1</v>
      </c>
      <c r="AH326" t="s">
        <v>1</v>
      </c>
      <c r="AI326" t="s">
        <v>1</v>
      </c>
      <c r="AJ326" t="s">
        <v>1</v>
      </c>
      <c r="AK326" t="s">
        <v>1</v>
      </c>
      <c r="AL326" t="s">
        <v>1</v>
      </c>
      <c r="AM326" t="s">
        <v>1</v>
      </c>
      <c r="AN326">
        <v>294</v>
      </c>
      <c r="AO326">
        <f t="shared" si="45"/>
        <v>294</v>
      </c>
      <c r="AP326">
        <f t="shared" si="47"/>
        <v>52</v>
      </c>
      <c r="AQ326">
        <f t="shared" si="48"/>
        <v>52</v>
      </c>
      <c r="AR326" s="26" t="s">
        <v>1355</v>
      </c>
      <c r="AS326" s="26" t="s">
        <v>1356</v>
      </c>
      <c r="AT326" t="s">
        <v>727</v>
      </c>
      <c r="AU326" t="s">
        <v>1</v>
      </c>
      <c r="AV326" t="s">
        <v>1</v>
      </c>
      <c r="AW326">
        <v>39.82</v>
      </c>
      <c r="AX326">
        <v>-7.46</v>
      </c>
      <c r="AY326" t="s">
        <v>737</v>
      </c>
      <c r="BA326" s="3">
        <v>3</v>
      </c>
      <c r="BB326" s="3"/>
      <c r="BC326" s="3"/>
      <c r="BD326" s="3"/>
      <c r="BE326" s="3"/>
      <c r="BF326">
        <v>2008</v>
      </c>
      <c r="BG326" s="24" t="s">
        <v>733</v>
      </c>
      <c r="BH326" s="24" t="s">
        <v>733</v>
      </c>
      <c r="BI326" s="24" t="s">
        <v>733</v>
      </c>
      <c r="BJ326" s="24" t="s">
        <v>732</v>
      </c>
      <c r="BK326" s="24" t="s">
        <v>733</v>
      </c>
      <c r="BL326" s="25" t="s">
        <v>733</v>
      </c>
      <c r="BM326" s="24" t="s">
        <v>733</v>
      </c>
      <c r="BN326" s="24" t="s">
        <v>732</v>
      </c>
      <c r="BO326" s="24" t="s">
        <v>733</v>
      </c>
      <c r="BP326" s="24" t="s">
        <v>733</v>
      </c>
      <c r="BQ326" s="24" t="s">
        <v>945</v>
      </c>
      <c r="BR326" s="24" t="s">
        <v>945</v>
      </c>
      <c r="BS326" s="25" t="s">
        <v>934</v>
      </c>
      <c r="BT326" s="24" t="s">
        <v>934</v>
      </c>
      <c r="BU326" s="24" t="s">
        <v>934</v>
      </c>
      <c r="BV326" s="24" t="s">
        <v>934</v>
      </c>
      <c r="BW326" s="24" t="s">
        <v>934</v>
      </c>
      <c r="BX326" s="24" t="s">
        <v>934</v>
      </c>
      <c r="BY326" s="25" t="s">
        <v>945</v>
      </c>
      <c r="BZ326" t="s">
        <v>1397</v>
      </c>
      <c r="CB326" t="s">
        <v>1389</v>
      </c>
      <c r="CC326" s="4" t="s">
        <v>1</v>
      </c>
      <c r="CD326" s="4"/>
      <c r="CE326" s="4"/>
      <c r="CF326" t="s">
        <v>1</v>
      </c>
      <c r="CG326" t="s">
        <v>1</v>
      </c>
      <c r="CH326" t="s">
        <v>805</v>
      </c>
      <c r="CI326" s="28">
        <f t="shared" si="49"/>
        <v>1.25</v>
      </c>
      <c r="CJ326" s="10" t="s">
        <v>1442</v>
      </c>
      <c r="CK326" s="9" t="s">
        <v>1</v>
      </c>
      <c r="CL326" s="4" t="s">
        <v>1</v>
      </c>
      <c r="CM326" t="s">
        <v>847</v>
      </c>
      <c r="CN326" s="4">
        <f>AVERAGE(167+272,46+103)</f>
        <v>294</v>
      </c>
      <c r="CO326" s="4" t="s">
        <v>1</v>
      </c>
      <c r="CP326" s="4" t="s">
        <v>1</v>
      </c>
      <c r="CQ326" s="4" t="s">
        <v>1</v>
      </c>
      <c r="CR326" s="4" t="s">
        <v>1</v>
      </c>
      <c r="CS326" s="4" t="s">
        <v>1</v>
      </c>
      <c r="CT326" s="4" t="s">
        <v>1</v>
      </c>
      <c r="CU326" s="4" t="s">
        <v>1</v>
      </c>
      <c r="CV326" t="s">
        <v>855</v>
      </c>
      <c r="CW326">
        <v>100</v>
      </c>
      <c r="CX326">
        <v>0</v>
      </c>
      <c r="CY326">
        <v>20</v>
      </c>
      <c r="CZ326" s="26" t="s">
        <v>1358</v>
      </c>
      <c r="DA326" t="s">
        <v>734</v>
      </c>
      <c r="DB326">
        <v>76</v>
      </c>
      <c r="DC326">
        <v>0</v>
      </c>
      <c r="DD326">
        <v>20</v>
      </c>
      <c r="DE326" s="26" t="s">
        <v>1358</v>
      </c>
      <c r="DF326" t="s">
        <v>735</v>
      </c>
      <c r="DG326">
        <v>15</v>
      </c>
      <c r="DH326">
        <v>0</v>
      </c>
      <c r="DI326">
        <v>20</v>
      </c>
      <c r="DJ326" s="26" t="s">
        <v>1358</v>
      </c>
      <c r="DK326" t="s">
        <v>736</v>
      </c>
      <c r="DL326">
        <v>9</v>
      </c>
      <c r="DM326">
        <v>0</v>
      </c>
      <c r="DN326">
        <v>20</v>
      </c>
      <c r="DO326" s="26" t="s">
        <v>1358</v>
      </c>
      <c r="DP326" t="s">
        <v>6</v>
      </c>
      <c r="DQ326" t="s">
        <v>813</v>
      </c>
      <c r="DR326">
        <v>6</v>
      </c>
      <c r="DS326">
        <v>0</v>
      </c>
      <c r="DT326">
        <v>20</v>
      </c>
      <c r="DU326" s="26" t="s">
        <v>1358</v>
      </c>
      <c r="EA326" t="s">
        <v>982</v>
      </c>
      <c r="EB326">
        <v>7.1</v>
      </c>
      <c r="EC326">
        <v>0</v>
      </c>
      <c r="ED326">
        <v>20</v>
      </c>
      <c r="EE326" s="26" t="s">
        <v>1358</v>
      </c>
      <c r="EF326" s="26"/>
      <c r="FZ326" t="s">
        <v>806</v>
      </c>
      <c r="GA326">
        <v>907.34341199999994</v>
      </c>
      <c r="GE326" s="26" t="s">
        <v>1358</v>
      </c>
      <c r="HA326" s="5" t="s">
        <v>1</v>
      </c>
      <c r="HB326" s="4" t="s">
        <v>1</v>
      </c>
      <c r="HC326" t="s">
        <v>1</v>
      </c>
      <c r="HD326" t="s">
        <v>1</v>
      </c>
      <c r="HE326" t="s">
        <v>1</v>
      </c>
      <c r="HF326" s="5" t="s">
        <v>1063</v>
      </c>
      <c r="HG326" s="4">
        <v>0.28532258064516125</v>
      </c>
      <c r="HH326">
        <v>0</v>
      </c>
      <c r="HI326">
        <v>20</v>
      </c>
      <c r="HJ326" s="26" t="s">
        <v>1358</v>
      </c>
      <c r="HK326" t="s">
        <v>815</v>
      </c>
      <c r="HL326">
        <v>1.52</v>
      </c>
      <c r="HM326">
        <v>0</v>
      </c>
      <c r="HN326">
        <v>20</v>
      </c>
      <c r="HO326" t="s">
        <v>1</v>
      </c>
      <c r="HP326" s="26" t="s">
        <v>1358</v>
      </c>
      <c r="HZ326" t="s">
        <v>1295</v>
      </c>
      <c r="IA326">
        <v>240</v>
      </c>
      <c r="IB326" s="5" t="s">
        <v>830</v>
      </c>
      <c r="IC326" s="5"/>
      <c r="ID326" s="5"/>
      <c r="IE326" s="10" t="s">
        <v>1</v>
      </c>
      <c r="IF326" s="10" t="s">
        <v>1</v>
      </c>
      <c r="IG326" s="10"/>
      <c r="IH326" s="10"/>
      <c r="II326" s="10"/>
      <c r="IJ326" s="10"/>
      <c r="IK326" s="10"/>
      <c r="IL326" s="10"/>
      <c r="IM326" s="10"/>
      <c r="IN326" s="10"/>
      <c r="IO326" s="10"/>
      <c r="IP326" s="10"/>
      <c r="IQ326" s="10"/>
      <c r="IR326" s="10"/>
      <c r="IS326" t="s">
        <v>1</v>
      </c>
      <c r="IT326" t="s">
        <v>1</v>
      </c>
      <c r="IW326" t="s">
        <v>979</v>
      </c>
      <c r="IX326">
        <v>10</v>
      </c>
      <c r="IY326" t="s">
        <v>808</v>
      </c>
      <c r="IZ326">
        <v>2252.5</v>
      </c>
      <c r="JA326" t="s">
        <v>1</v>
      </c>
      <c r="JB326" s="3" t="s">
        <v>1</v>
      </c>
      <c r="JC326" t="s">
        <v>1</v>
      </c>
      <c r="JD326" s="4" t="s">
        <v>1</v>
      </c>
      <c r="JE326" t="s">
        <v>810</v>
      </c>
      <c r="JF326">
        <v>100</v>
      </c>
      <c r="JR326" t="s">
        <v>1066</v>
      </c>
      <c r="JS326">
        <v>403.7</v>
      </c>
      <c r="JU326" t="s">
        <v>1</v>
      </c>
      <c r="JW326" t="s">
        <v>1</v>
      </c>
      <c r="JX326">
        <v>0</v>
      </c>
      <c r="JY326">
        <v>64.999999999999986</v>
      </c>
      <c r="JZ326" t="s">
        <v>800</v>
      </c>
      <c r="KA326" t="s">
        <v>360</v>
      </c>
      <c r="KB326" t="s">
        <v>738</v>
      </c>
      <c r="KC326" t="s">
        <v>1</v>
      </c>
      <c r="KD326" t="s">
        <v>1</v>
      </c>
      <c r="KE326" s="1" t="s">
        <v>1</v>
      </c>
      <c r="KF326" t="s">
        <v>1</v>
      </c>
      <c r="KG326" t="s">
        <v>1</v>
      </c>
      <c r="KH326" t="s">
        <v>1</v>
      </c>
      <c r="KI326" t="s">
        <v>1</v>
      </c>
      <c r="KJ326" t="s">
        <v>1</v>
      </c>
      <c r="KK326" t="s">
        <v>1</v>
      </c>
    </row>
    <row r="327" spans="1:297" x14ac:dyDescent="0.2">
      <c r="A327">
        <v>295</v>
      </c>
      <c r="B327" t="s">
        <v>705</v>
      </c>
      <c r="C327" t="s">
        <v>363</v>
      </c>
      <c r="D327" t="s">
        <v>359</v>
      </c>
      <c r="E327">
        <v>52</v>
      </c>
      <c r="F327" t="s">
        <v>703</v>
      </c>
      <c r="G327" t="s">
        <v>1</v>
      </c>
      <c r="H327" s="26" t="s">
        <v>1420</v>
      </c>
      <c r="I327" t="s">
        <v>1</v>
      </c>
      <c r="J327" t="s">
        <v>1</v>
      </c>
      <c r="K327" t="s">
        <v>1</v>
      </c>
      <c r="L327" t="s">
        <v>1</v>
      </c>
      <c r="M327" t="s">
        <v>1</v>
      </c>
      <c r="N327" t="s">
        <v>1</v>
      </c>
      <c r="O327" t="s">
        <v>1</v>
      </c>
      <c r="P327" t="s">
        <v>1</v>
      </c>
      <c r="Q327" t="s">
        <v>1</v>
      </c>
      <c r="R327" t="s">
        <v>1</v>
      </c>
      <c r="S327" t="s">
        <v>1</v>
      </c>
      <c r="T327" t="s">
        <v>1</v>
      </c>
      <c r="U327" t="s">
        <v>1</v>
      </c>
      <c r="V327" t="s">
        <v>1</v>
      </c>
      <c r="W327" t="s">
        <v>1</v>
      </c>
      <c r="X327" t="s">
        <v>1</v>
      </c>
      <c r="Y327" t="s">
        <v>1</v>
      </c>
      <c r="Z327" t="s">
        <v>1</v>
      </c>
      <c r="AA327" t="s">
        <v>1</v>
      </c>
      <c r="AB327" t="s">
        <v>1</v>
      </c>
      <c r="AC327" t="s">
        <v>1</v>
      </c>
      <c r="AD327" t="s">
        <v>1</v>
      </c>
      <c r="AE327" t="s">
        <v>1</v>
      </c>
      <c r="AF327" t="s">
        <v>1</v>
      </c>
      <c r="AG327" t="s">
        <v>1</v>
      </c>
      <c r="AH327" t="s">
        <v>1</v>
      </c>
      <c r="AI327" t="s">
        <v>1</v>
      </c>
      <c r="AJ327" t="s">
        <v>1</v>
      </c>
      <c r="AK327" t="s">
        <v>1</v>
      </c>
      <c r="AL327" t="s">
        <v>1</v>
      </c>
      <c r="AM327" t="s">
        <v>1</v>
      </c>
      <c r="AN327">
        <v>295</v>
      </c>
      <c r="AO327">
        <f t="shared" si="45"/>
        <v>295</v>
      </c>
      <c r="AP327">
        <f t="shared" si="47"/>
        <v>52</v>
      </c>
      <c r="AQ327">
        <f t="shared" si="48"/>
        <v>52</v>
      </c>
      <c r="AR327" s="26" t="s">
        <v>1355</v>
      </c>
      <c r="AS327" s="26" t="s">
        <v>1356</v>
      </c>
      <c r="AT327" t="s">
        <v>727</v>
      </c>
      <c r="AU327" t="s">
        <v>1</v>
      </c>
      <c r="AV327" t="s">
        <v>1</v>
      </c>
      <c r="AW327">
        <v>39.82</v>
      </c>
      <c r="AX327">
        <v>-7.46</v>
      </c>
      <c r="AY327" t="s">
        <v>737</v>
      </c>
      <c r="BA327" s="3">
        <v>3</v>
      </c>
      <c r="BB327" s="3"/>
      <c r="BC327" s="3"/>
      <c r="BD327" s="3"/>
      <c r="BE327" s="3"/>
      <c r="BF327">
        <v>2008</v>
      </c>
      <c r="BG327" s="24" t="s">
        <v>733</v>
      </c>
      <c r="BH327" s="24" t="s">
        <v>733</v>
      </c>
      <c r="BI327" s="24" t="s">
        <v>733</v>
      </c>
      <c r="BJ327" s="24" t="s">
        <v>732</v>
      </c>
      <c r="BK327" s="24" t="s">
        <v>733</v>
      </c>
      <c r="BL327" s="25" t="s">
        <v>733</v>
      </c>
      <c r="BM327" s="24" t="s">
        <v>733</v>
      </c>
      <c r="BN327" s="24" t="s">
        <v>732</v>
      </c>
      <c r="BO327" s="24" t="s">
        <v>733</v>
      </c>
      <c r="BP327" s="24" t="s">
        <v>733</v>
      </c>
      <c r="BQ327" s="24" t="s">
        <v>945</v>
      </c>
      <c r="BR327" s="24" t="s">
        <v>945</v>
      </c>
      <c r="BS327" s="25" t="s">
        <v>934</v>
      </c>
      <c r="BT327" s="24" t="s">
        <v>934</v>
      </c>
      <c r="BU327" s="24" t="s">
        <v>934</v>
      </c>
      <c r="BV327" s="24" t="s">
        <v>934</v>
      </c>
      <c r="BW327" s="24" t="s">
        <v>934</v>
      </c>
      <c r="BX327" s="24" t="s">
        <v>934</v>
      </c>
      <c r="BY327" s="25" t="s">
        <v>945</v>
      </c>
      <c r="BZ327" t="s">
        <v>1397</v>
      </c>
      <c r="CB327" t="s">
        <v>1389</v>
      </c>
      <c r="CC327" s="4" t="s">
        <v>1</v>
      </c>
      <c r="CD327" s="4"/>
      <c r="CE327" s="4"/>
      <c r="CF327" t="s">
        <v>1</v>
      </c>
      <c r="CG327" t="s">
        <v>1</v>
      </c>
      <c r="CH327" t="s">
        <v>805</v>
      </c>
      <c r="CI327" s="28">
        <f t="shared" si="49"/>
        <v>1.25</v>
      </c>
      <c r="CJ327" s="10" t="s">
        <v>1442</v>
      </c>
      <c r="CK327" s="9" t="s">
        <v>1</v>
      </c>
      <c r="CL327" s="4" t="s">
        <v>1</v>
      </c>
      <c r="CM327" t="s">
        <v>847</v>
      </c>
      <c r="CN327" s="4">
        <f>AVERAGE(164+217,45+79)</f>
        <v>252.5</v>
      </c>
      <c r="CO327" s="4" t="s">
        <v>1</v>
      </c>
      <c r="CP327" s="4" t="s">
        <v>1</v>
      </c>
      <c r="CQ327" s="4" t="s">
        <v>1</v>
      </c>
      <c r="CR327" s="4" t="s">
        <v>1</v>
      </c>
      <c r="CS327" s="4" t="s">
        <v>1</v>
      </c>
      <c r="CT327" s="4" t="s">
        <v>1</v>
      </c>
      <c r="CU327" s="4" t="s">
        <v>1</v>
      </c>
      <c r="CV327" t="s">
        <v>855</v>
      </c>
      <c r="CW327">
        <v>100</v>
      </c>
      <c r="CX327">
        <v>0</v>
      </c>
      <c r="CY327">
        <v>20</v>
      </c>
      <c r="CZ327" s="26" t="s">
        <v>1358</v>
      </c>
      <c r="DA327" t="s">
        <v>734</v>
      </c>
      <c r="DB327">
        <v>76</v>
      </c>
      <c r="DC327">
        <v>0</v>
      </c>
      <c r="DD327">
        <v>20</v>
      </c>
      <c r="DE327" s="26" t="s">
        <v>1358</v>
      </c>
      <c r="DF327" t="s">
        <v>735</v>
      </c>
      <c r="DG327">
        <v>15</v>
      </c>
      <c r="DH327">
        <v>0</v>
      </c>
      <c r="DI327">
        <v>20</v>
      </c>
      <c r="DJ327" s="26" t="s">
        <v>1358</v>
      </c>
      <c r="DK327" t="s">
        <v>736</v>
      </c>
      <c r="DL327">
        <v>9</v>
      </c>
      <c r="DM327">
        <v>0</v>
      </c>
      <c r="DN327">
        <v>20</v>
      </c>
      <c r="DO327" s="26" t="s">
        <v>1358</v>
      </c>
      <c r="DP327" t="s">
        <v>6</v>
      </c>
      <c r="DQ327" t="s">
        <v>813</v>
      </c>
      <c r="DR327">
        <v>6</v>
      </c>
      <c r="DS327">
        <v>0</v>
      </c>
      <c r="DT327">
        <v>20</v>
      </c>
      <c r="DU327" s="26" t="s">
        <v>1358</v>
      </c>
      <c r="EA327" t="s">
        <v>982</v>
      </c>
      <c r="EB327">
        <v>7.1</v>
      </c>
      <c r="EC327">
        <v>0</v>
      </c>
      <c r="ED327">
        <v>20</v>
      </c>
      <c r="EE327" s="26" t="s">
        <v>1358</v>
      </c>
      <c r="EF327" s="26"/>
      <c r="FZ327" t="s">
        <v>806</v>
      </c>
      <c r="GA327">
        <v>907.34341199999994</v>
      </c>
      <c r="GE327" s="26" t="s">
        <v>1358</v>
      </c>
      <c r="HA327" s="5" t="s">
        <v>1</v>
      </c>
      <c r="HB327" s="4" t="s">
        <v>1</v>
      </c>
      <c r="HC327" t="s">
        <v>1</v>
      </c>
      <c r="HD327" t="s">
        <v>1</v>
      </c>
      <c r="HE327" t="s">
        <v>1</v>
      </c>
      <c r="HF327" s="5" t="s">
        <v>1063</v>
      </c>
      <c r="HG327" s="4">
        <v>0.28532258064516125</v>
      </c>
      <c r="HH327">
        <v>0</v>
      </c>
      <c r="HI327">
        <v>20</v>
      </c>
      <c r="HJ327" s="26" t="s">
        <v>1358</v>
      </c>
      <c r="HK327" t="s">
        <v>815</v>
      </c>
      <c r="HL327">
        <v>1.52</v>
      </c>
      <c r="HM327">
        <v>0</v>
      </c>
      <c r="HN327">
        <v>20</v>
      </c>
      <c r="HO327" t="s">
        <v>1</v>
      </c>
      <c r="HP327" s="26" t="s">
        <v>1358</v>
      </c>
      <c r="HZ327" t="s">
        <v>966</v>
      </c>
      <c r="IA327">
        <v>80</v>
      </c>
      <c r="IB327" s="5" t="s">
        <v>1</v>
      </c>
      <c r="IC327" s="5"/>
      <c r="ID327" s="5"/>
      <c r="IE327" s="10" t="s">
        <v>1</v>
      </c>
      <c r="IF327" s="10" t="s">
        <v>1</v>
      </c>
      <c r="IG327" s="10"/>
      <c r="IH327" s="10"/>
      <c r="II327" s="10"/>
      <c r="IJ327" s="10"/>
      <c r="IK327" s="10"/>
      <c r="IL327" s="10"/>
      <c r="IM327" s="10"/>
      <c r="IN327" s="10"/>
      <c r="IO327" s="10"/>
      <c r="IP327" s="10"/>
      <c r="IQ327" s="10"/>
      <c r="IR327" s="10"/>
      <c r="IS327" t="s">
        <v>1</v>
      </c>
      <c r="IT327" t="s">
        <v>1</v>
      </c>
      <c r="IW327" t="s">
        <v>979</v>
      </c>
      <c r="IX327">
        <v>170</v>
      </c>
      <c r="IY327" t="s">
        <v>808</v>
      </c>
      <c r="IZ327">
        <v>2252.5</v>
      </c>
      <c r="JA327" t="s">
        <v>1</v>
      </c>
      <c r="JB327" s="3" t="s">
        <v>1</v>
      </c>
      <c r="JC327" t="s">
        <v>1</v>
      </c>
      <c r="JD327" s="4" t="s">
        <v>1</v>
      </c>
      <c r="JE327" t="s">
        <v>810</v>
      </c>
      <c r="JF327">
        <v>100</v>
      </c>
      <c r="JR327" t="s">
        <v>1066</v>
      </c>
      <c r="JS327">
        <v>387.6</v>
      </c>
      <c r="JU327" t="s">
        <v>1</v>
      </c>
      <c r="JW327" t="s">
        <v>1</v>
      </c>
      <c r="JX327">
        <v>0</v>
      </c>
      <c r="JY327">
        <v>64.999999999999986</v>
      </c>
      <c r="JZ327" t="s">
        <v>800</v>
      </c>
      <c r="KA327" t="s">
        <v>360</v>
      </c>
      <c r="KB327" t="s">
        <v>738</v>
      </c>
      <c r="KC327" t="s">
        <v>1</v>
      </c>
      <c r="KD327" t="s">
        <v>1</v>
      </c>
      <c r="KE327" s="1" t="s">
        <v>1</v>
      </c>
      <c r="KF327" t="s">
        <v>1</v>
      </c>
      <c r="KG327" t="s">
        <v>1</v>
      </c>
      <c r="KH327" t="s">
        <v>1</v>
      </c>
      <c r="KI327" t="s">
        <v>1</v>
      </c>
      <c r="KJ327" t="s">
        <v>1</v>
      </c>
      <c r="KK327" t="s">
        <v>1</v>
      </c>
    </row>
    <row r="328" spans="1:297" x14ac:dyDescent="0.2">
      <c r="A328">
        <v>296</v>
      </c>
      <c r="B328" t="s">
        <v>705</v>
      </c>
      <c r="C328" t="s">
        <v>364</v>
      </c>
      <c r="D328" t="s">
        <v>359</v>
      </c>
      <c r="E328">
        <v>52</v>
      </c>
      <c r="F328" t="s">
        <v>703</v>
      </c>
      <c r="G328" t="s">
        <v>1</v>
      </c>
      <c r="H328" s="26" t="s">
        <v>1420</v>
      </c>
      <c r="I328" t="s">
        <v>1</v>
      </c>
      <c r="J328" t="s">
        <v>1</v>
      </c>
      <c r="K328" t="s">
        <v>1</v>
      </c>
      <c r="L328" t="s">
        <v>1</v>
      </c>
      <c r="M328" t="s">
        <v>1</v>
      </c>
      <c r="N328" t="s">
        <v>1</v>
      </c>
      <c r="O328" t="s">
        <v>1</v>
      </c>
      <c r="P328" t="s">
        <v>1</v>
      </c>
      <c r="Q328" t="s">
        <v>1</v>
      </c>
      <c r="R328" t="s">
        <v>1</v>
      </c>
      <c r="S328" t="s">
        <v>1</v>
      </c>
      <c r="T328" t="s">
        <v>1</v>
      </c>
      <c r="U328" t="s">
        <v>1</v>
      </c>
      <c r="V328" t="s">
        <v>1</v>
      </c>
      <c r="W328" t="s">
        <v>1</v>
      </c>
      <c r="X328" t="s">
        <v>1</v>
      </c>
      <c r="Y328" t="s">
        <v>1</v>
      </c>
      <c r="Z328" t="s">
        <v>1</v>
      </c>
      <c r="AA328" t="s">
        <v>1</v>
      </c>
      <c r="AB328" t="s">
        <v>1</v>
      </c>
      <c r="AC328" t="s">
        <v>1</v>
      </c>
      <c r="AD328" t="s">
        <v>1</v>
      </c>
      <c r="AE328" t="s">
        <v>1</v>
      </c>
      <c r="AF328" t="s">
        <v>1</v>
      </c>
      <c r="AG328" t="s">
        <v>1</v>
      </c>
      <c r="AH328" t="s">
        <v>1</v>
      </c>
      <c r="AI328" t="s">
        <v>1</v>
      </c>
      <c r="AJ328" t="s">
        <v>1</v>
      </c>
      <c r="AK328" t="s">
        <v>1</v>
      </c>
      <c r="AL328" t="s">
        <v>1</v>
      </c>
      <c r="AM328" t="s">
        <v>1</v>
      </c>
      <c r="AN328">
        <v>296</v>
      </c>
      <c r="AO328">
        <f t="shared" si="45"/>
        <v>296</v>
      </c>
      <c r="AP328">
        <f t="shared" si="47"/>
        <v>52</v>
      </c>
      <c r="AQ328">
        <f t="shared" si="48"/>
        <v>52</v>
      </c>
      <c r="AR328" s="26" t="s">
        <v>1355</v>
      </c>
      <c r="AS328" s="26" t="s">
        <v>1356</v>
      </c>
      <c r="AT328" t="s">
        <v>727</v>
      </c>
      <c r="AU328" t="s">
        <v>1</v>
      </c>
      <c r="AV328" t="s">
        <v>1</v>
      </c>
      <c r="AW328">
        <v>39.82</v>
      </c>
      <c r="AX328">
        <v>-7.46</v>
      </c>
      <c r="AY328" t="s">
        <v>737</v>
      </c>
      <c r="BA328" s="3">
        <v>3</v>
      </c>
      <c r="BB328" s="3"/>
      <c r="BC328" s="3"/>
      <c r="BD328" s="3"/>
      <c r="BE328" s="3"/>
      <c r="BF328">
        <v>2008</v>
      </c>
      <c r="BG328" s="24" t="s">
        <v>733</v>
      </c>
      <c r="BH328" s="24" t="s">
        <v>733</v>
      </c>
      <c r="BI328" s="24" t="s">
        <v>733</v>
      </c>
      <c r="BJ328" s="24" t="s">
        <v>732</v>
      </c>
      <c r="BK328" s="24" t="s">
        <v>733</v>
      </c>
      <c r="BL328" s="25" t="s">
        <v>733</v>
      </c>
      <c r="BM328" s="24" t="s">
        <v>733</v>
      </c>
      <c r="BN328" s="24" t="s">
        <v>732</v>
      </c>
      <c r="BO328" s="24" t="s">
        <v>733</v>
      </c>
      <c r="BP328" s="24" t="s">
        <v>733</v>
      </c>
      <c r="BQ328" s="24" t="s">
        <v>945</v>
      </c>
      <c r="BR328" s="24" t="s">
        <v>945</v>
      </c>
      <c r="BS328" s="25" t="s">
        <v>934</v>
      </c>
      <c r="BT328" s="24" t="s">
        <v>934</v>
      </c>
      <c r="BU328" s="24" t="s">
        <v>934</v>
      </c>
      <c r="BV328" s="24" t="s">
        <v>934</v>
      </c>
      <c r="BW328" s="24" t="s">
        <v>934</v>
      </c>
      <c r="BX328" s="24" t="s">
        <v>934</v>
      </c>
      <c r="BY328" s="25" t="s">
        <v>945</v>
      </c>
      <c r="BZ328" t="s">
        <v>1397</v>
      </c>
      <c r="CB328" t="s">
        <v>1389</v>
      </c>
      <c r="CC328" s="4" t="s">
        <v>1</v>
      </c>
      <c r="CD328" s="4"/>
      <c r="CE328" s="4"/>
      <c r="CF328" t="s">
        <v>1</v>
      </c>
      <c r="CG328" t="s">
        <v>1</v>
      </c>
      <c r="CH328" t="s">
        <v>805</v>
      </c>
      <c r="CI328" s="28">
        <f t="shared" si="49"/>
        <v>1.25</v>
      </c>
      <c r="CJ328" s="10" t="s">
        <v>1442</v>
      </c>
      <c r="CK328" s="9" t="s">
        <v>1</v>
      </c>
      <c r="CL328" s="4" t="s">
        <v>1</v>
      </c>
      <c r="CM328" t="s">
        <v>847</v>
      </c>
      <c r="CN328" s="4">
        <f>AVERAGE(137+168,93+85)</f>
        <v>241.5</v>
      </c>
      <c r="CO328" s="4" t="s">
        <v>1</v>
      </c>
      <c r="CP328" s="4" t="s">
        <v>1</v>
      </c>
      <c r="CQ328" s="4" t="s">
        <v>1</v>
      </c>
      <c r="CR328" s="4" t="s">
        <v>1</v>
      </c>
      <c r="CS328" s="4" t="s">
        <v>1</v>
      </c>
      <c r="CT328" s="4" t="s">
        <v>1</v>
      </c>
      <c r="CU328" s="4" t="s">
        <v>1</v>
      </c>
      <c r="CV328" t="s">
        <v>855</v>
      </c>
      <c r="CW328">
        <v>100</v>
      </c>
      <c r="CX328">
        <v>0</v>
      </c>
      <c r="CY328">
        <v>20</v>
      </c>
      <c r="CZ328" s="26" t="s">
        <v>1358</v>
      </c>
      <c r="DA328" t="s">
        <v>734</v>
      </c>
      <c r="DB328">
        <v>76</v>
      </c>
      <c r="DC328">
        <v>0</v>
      </c>
      <c r="DD328">
        <v>20</v>
      </c>
      <c r="DE328" s="26" t="s">
        <v>1358</v>
      </c>
      <c r="DF328" t="s">
        <v>735</v>
      </c>
      <c r="DG328">
        <v>15</v>
      </c>
      <c r="DH328">
        <v>0</v>
      </c>
      <c r="DI328">
        <v>20</v>
      </c>
      <c r="DJ328" s="26" t="s">
        <v>1358</v>
      </c>
      <c r="DK328" t="s">
        <v>736</v>
      </c>
      <c r="DL328">
        <v>9</v>
      </c>
      <c r="DM328">
        <v>0</v>
      </c>
      <c r="DN328">
        <v>20</v>
      </c>
      <c r="DO328" s="26" t="s">
        <v>1358</v>
      </c>
      <c r="DP328" t="s">
        <v>6</v>
      </c>
      <c r="DQ328" t="s">
        <v>813</v>
      </c>
      <c r="DR328">
        <v>6</v>
      </c>
      <c r="DS328">
        <v>0</v>
      </c>
      <c r="DT328">
        <v>20</v>
      </c>
      <c r="DU328" s="26" t="s">
        <v>1358</v>
      </c>
      <c r="EA328" t="s">
        <v>982</v>
      </c>
      <c r="EB328">
        <v>7.1</v>
      </c>
      <c r="EC328">
        <v>0</v>
      </c>
      <c r="ED328">
        <v>20</v>
      </c>
      <c r="EE328" s="26" t="s">
        <v>1358</v>
      </c>
      <c r="EF328" s="26"/>
      <c r="FZ328" t="s">
        <v>806</v>
      </c>
      <c r="GA328">
        <v>907.34341199999994</v>
      </c>
      <c r="GE328" s="26" t="s">
        <v>1358</v>
      </c>
      <c r="HA328" s="5" t="s">
        <v>1</v>
      </c>
      <c r="HB328" s="4" t="s">
        <v>1</v>
      </c>
      <c r="HC328" t="s">
        <v>1</v>
      </c>
      <c r="HD328" t="s">
        <v>1</v>
      </c>
      <c r="HE328" t="s">
        <v>1</v>
      </c>
      <c r="HF328" s="5" t="s">
        <v>1063</v>
      </c>
      <c r="HG328" s="4">
        <v>0.28532258064516125</v>
      </c>
      <c r="HH328">
        <v>0</v>
      </c>
      <c r="HI328">
        <v>20</v>
      </c>
      <c r="HJ328" s="26" t="s">
        <v>1358</v>
      </c>
      <c r="HK328" t="s">
        <v>815</v>
      </c>
      <c r="HL328">
        <v>1.52</v>
      </c>
      <c r="HM328">
        <v>0</v>
      </c>
      <c r="HN328">
        <v>20</v>
      </c>
      <c r="HO328" t="s">
        <v>1</v>
      </c>
      <c r="HP328" s="26" t="s">
        <v>1358</v>
      </c>
      <c r="HZ328" t="s">
        <v>1295</v>
      </c>
      <c r="IA328">
        <v>80</v>
      </c>
      <c r="IB328" s="5" t="s">
        <v>830</v>
      </c>
      <c r="IC328" s="5"/>
      <c r="ID328" s="5"/>
      <c r="IE328" s="10" t="s">
        <v>1</v>
      </c>
      <c r="IF328" s="10" t="s">
        <v>1</v>
      </c>
      <c r="IG328" s="10"/>
      <c r="IH328" s="10"/>
      <c r="II328" s="10"/>
      <c r="IJ328" s="10"/>
      <c r="IK328" s="10"/>
      <c r="IL328" s="10"/>
      <c r="IM328" s="10"/>
      <c r="IN328" s="10"/>
      <c r="IO328" s="10"/>
      <c r="IP328" s="10"/>
      <c r="IQ328" s="10"/>
      <c r="IR328" s="10"/>
      <c r="IS328" t="s">
        <v>1</v>
      </c>
      <c r="IT328" t="s">
        <v>1</v>
      </c>
      <c r="IW328" t="s">
        <v>979</v>
      </c>
      <c r="IX328">
        <v>170</v>
      </c>
      <c r="IY328" t="s">
        <v>808</v>
      </c>
      <c r="IZ328">
        <v>2252.5</v>
      </c>
      <c r="JA328" t="s">
        <v>1</v>
      </c>
      <c r="JB328" s="3" t="s">
        <v>1</v>
      </c>
      <c r="JC328" t="s">
        <v>1</v>
      </c>
      <c r="JD328" s="4" t="s">
        <v>1</v>
      </c>
      <c r="JE328" t="s">
        <v>810</v>
      </c>
      <c r="JF328">
        <v>100</v>
      </c>
      <c r="JR328" t="s">
        <v>1066</v>
      </c>
      <c r="JS328">
        <v>282</v>
      </c>
      <c r="JU328" t="s">
        <v>1</v>
      </c>
      <c r="JW328" t="s">
        <v>1</v>
      </c>
      <c r="JX328">
        <v>0</v>
      </c>
      <c r="JY328">
        <v>64.999999999999986</v>
      </c>
      <c r="JZ328" t="s">
        <v>800</v>
      </c>
      <c r="KA328" t="s">
        <v>360</v>
      </c>
      <c r="KB328" t="s">
        <v>738</v>
      </c>
      <c r="KC328" t="s">
        <v>1</v>
      </c>
      <c r="KD328" t="s">
        <v>1</v>
      </c>
      <c r="KE328" s="1" t="s">
        <v>1</v>
      </c>
      <c r="KF328" t="s">
        <v>1</v>
      </c>
      <c r="KG328" t="s">
        <v>1</v>
      </c>
      <c r="KH328" t="s">
        <v>1</v>
      </c>
      <c r="KI328" t="s">
        <v>1</v>
      </c>
      <c r="KJ328" t="s">
        <v>1</v>
      </c>
      <c r="KK328" t="s">
        <v>1</v>
      </c>
    </row>
    <row r="329" spans="1:297" x14ac:dyDescent="0.2">
      <c r="A329">
        <v>297</v>
      </c>
      <c r="B329" t="s">
        <v>705</v>
      </c>
      <c r="C329" t="s">
        <v>365</v>
      </c>
      <c r="D329" t="s">
        <v>359</v>
      </c>
      <c r="E329">
        <v>52</v>
      </c>
      <c r="F329" t="s">
        <v>703</v>
      </c>
      <c r="G329" t="s">
        <v>1</v>
      </c>
      <c r="H329" s="26" t="s">
        <v>1420</v>
      </c>
      <c r="I329" t="s">
        <v>1</v>
      </c>
      <c r="J329" t="s">
        <v>1</v>
      </c>
      <c r="K329" t="s">
        <v>1</v>
      </c>
      <c r="L329" t="s">
        <v>1</v>
      </c>
      <c r="M329" t="s">
        <v>1</v>
      </c>
      <c r="N329" t="s">
        <v>1</v>
      </c>
      <c r="O329" t="s">
        <v>1</v>
      </c>
      <c r="P329" t="s">
        <v>1</v>
      </c>
      <c r="Q329" t="s">
        <v>1</v>
      </c>
      <c r="R329" t="s">
        <v>1</v>
      </c>
      <c r="S329" t="s">
        <v>1</v>
      </c>
      <c r="T329" t="s">
        <v>1</v>
      </c>
      <c r="U329" t="s">
        <v>1</v>
      </c>
      <c r="V329" t="s">
        <v>1</v>
      </c>
      <c r="W329" t="s">
        <v>1</v>
      </c>
      <c r="X329" t="s">
        <v>1</v>
      </c>
      <c r="Y329" t="s">
        <v>1</v>
      </c>
      <c r="Z329" t="s">
        <v>1</v>
      </c>
      <c r="AA329" t="s">
        <v>1</v>
      </c>
      <c r="AB329" t="s">
        <v>1</v>
      </c>
      <c r="AC329" t="s">
        <v>1</v>
      </c>
      <c r="AD329" t="s">
        <v>1</v>
      </c>
      <c r="AE329" t="s">
        <v>1</v>
      </c>
      <c r="AF329" t="s">
        <v>1</v>
      </c>
      <c r="AG329" t="s">
        <v>1</v>
      </c>
      <c r="AH329" t="s">
        <v>1</v>
      </c>
      <c r="AI329" t="s">
        <v>1</v>
      </c>
      <c r="AJ329" t="s">
        <v>1</v>
      </c>
      <c r="AK329" t="s">
        <v>1</v>
      </c>
      <c r="AL329" t="s">
        <v>1</v>
      </c>
      <c r="AM329" t="s">
        <v>1</v>
      </c>
      <c r="AN329">
        <v>297</v>
      </c>
      <c r="AO329">
        <f t="shared" si="45"/>
        <v>297</v>
      </c>
      <c r="AP329">
        <f t="shared" si="47"/>
        <v>52</v>
      </c>
      <c r="AQ329">
        <f t="shared" si="48"/>
        <v>52</v>
      </c>
      <c r="AR329" s="26" t="s">
        <v>1355</v>
      </c>
      <c r="AS329" s="26" t="s">
        <v>1356</v>
      </c>
      <c r="AT329" t="s">
        <v>727</v>
      </c>
      <c r="AU329" t="s">
        <v>1</v>
      </c>
      <c r="AV329" t="s">
        <v>1</v>
      </c>
      <c r="AW329">
        <v>39.82</v>
      </c>
      <c r="AX329">
        <v>-7.46</v>
      </c>
      <c r="AY329" t="s">
        <v>737</v>
      </c>
      <c r="BA329" s="3">
        <v>3</v>
      </c>
      <c r="BB329" s="3"/>
      <c r="BC329" s="3"/>
      <c r="BD329" s="3"/>
      <c r="BE329" s="3"/>
      <c r="BF329">
        <v>2008</v>
      </c>
      <c r="BG329" s="24" t="s">
        <v>733</v>
      </c>
      <c r="BH329" s="24" t="s">
        <v>733</v>
      </c>
      <c r="BI329" s="24" t="s">
        <v>733</v>
      </c>
      <c r="BJ329" s="24" t="s">
        <v>732</v>
      </c>
      <c r="BK329" s="24" t="s">
        <v>733</v>
      </c>
      <c r="BL329" s="25" t="s">
        <v>733</v>
      </c>
      <c r="BM329" s="24" t="s">
        <v>733</v>
      </c>
      <c r="BN329" s="24" t="s">
        <v>732</v>
      </c>
      <c r="BO329" s="24" t="s">
        <v>733</v>
      </c>
      <c r="BP329" s="24" t="s">
        <v>733</v>
      </c>
      <c r="BQ329" s="24" t="s">
        <v>945</v>
      </c>
      <c r="BR329" s="24" t="s">
        <v>945</v>
      </c>
      <c r="BS329" s="25" t="s">
        <v>934</v>
      </c>
      <c r="BT329" s="24" t="s">
        <v>934</v>
      </c>
      <c r="BU329" s="24" t="s">
        <v>934</v>
      </c>
      <c r="BV329" s="24" t="s">
        <v>934</v>
      </c>
      <c r="BW329" s="24" t="s">
        <v>934</v>
      </c>
      <c r="BX329" s="24" t="s">
        <v>934</v>
      </c>
      <c r="BY329" s="25" t="s">
        <v>945</v>
      </c>
      <c r="BZ329" t="s">
        <v>1397</v>
      </c>
      <c r="CB329" t="s">
        <v>1389</v>
      </c>
      <c r="CC329" s="4" t="s">
        <v>1</v>
      </c>
      <c r="CD329" s="4"/>
      <c r="CE329" s="4"/>
      <c r="CF329" t="s">
        <v>1</v>
      </c>
      <c r="CG329" t="s">
        <v>1</v>
      </c>
      <c r="CH329" t="s">
        <v>805</v>
      </c>
      <c r="CI329" s="28">
        <f t="shared" si="49"/>
        <v>1.25</v>
      </c>
      <c r="CJ329" s="10" t="s">
        <v>1442</v>
      </c>
      <c r="CK329" s="9" t="s">
        <v>1</v>
      </c>
      <c r="CL329" s="4" t="s">
        <v>1</v>
      </c>
      <c r="CM329" t="s">
        <v>847</v>
      </c>
      <c r="CN329" s="4">
        <f>AVERAGE(133+261,31+52)</f>
        <v>238.5</v>
      </c>
      <c r="CO329" s="4" t="s">
        <v>1</v>
      </c>
      <c r="CP329" s="4" t="s">
        <v>1</v>
      </c>
      <c r="CQ329" s="4" t="s">
        <v>1</v>
      </c>
      <c r="CR329" s="4" t="s">
        <v>1</v>
      </c>
      <c r="CS329" s="4" t="s">
        <v>1</v>
      </c>
      <c r="CT329" s="4" t="s">
        <v>1</v>
      </c>
      <c r="CU329" s="4" t="s">
        <v>1</v>
      </c>
      <c r="CV329" t="s">
        <v>855</v>
      </c>
      <c r="CW329">
        <v>100</v>
      </c>
      <c r="CX329">
        <v>0</v>
      </c>
      <c r="CY329">
        <v>20</v>
      </c>
      <c r="CZ329" s="26" t="s">
        <v>1358</v>
      </c>
      <c r="DA329" t="s">
        <v>734</v>
      </c>
      <c r="DB329">
        <v>76</v>
      </c>
      <c r="DC329">
        <v>0</v>
      </c>
      <c r="DD329">
        <v>20</v>
      </c>
      <c r="DE329" s="26" t="s">
        <v>1358</v>
      </c>
      <c r="DF329" t="s">
        <v>735</v>
      </c>
      <c r="DG329">
        <v>15</v>
      </c>
      <c r="DH329">
        <v>0</v>
      </c>
      <c r="DI329">
        <v>20</v>
      </c>
      <c r="DJ329" s="26" t="s">
        <v>1358</v>
      </c>
      <c r="DK329" t="s">
        <v>736</v>
      </c>
      <c r="DL329">
        <v>9</v>
      </c>
      <c r="DM329">
        <v>0</v>
      </c>
      <c r="DN329">
        <v>20</v>
      </c>
      <c r="DO329" s="26" t="s">
        <v>1358</v>
      </c>
      <c r="DP329" t="s">
        <v>6</v>
      </c>
      <c r="DQ329" t="s">
        <v>813</v>
      </c>
      <c r="DR329">
        <v>6</v>
      </c>
      <c r="DS329">
        <v>0</v>
      </c>
      <c r="DT329">
        <v>20</v>
      </c>
      <c r="DU329" s="26" t="s">
        <v>1358</v>
      </c>
      <c r="EA329" t="s">
        <v>982</v>
      </c>
      <c r="EB329">
        <v>7.1</v>
      </c>
      <c r="EC329">
        <v>0</v>
      </c>
      <c r="ED329">
        <v>20</v>
      </c>
      <c r="EE329" s="26" t="s">
        <v>1358</v>
      </c>
      <c r="EF329" s="26"/>
      <c r="FZ329" t="s">
        <v>806</v>
      </c>
      <c r="GA329">
        <v>907.34341199999994</v>
      </c>
      <c r="GE329" s="26" t="s">
        <v>1358</v>
      </c>
      <c r="HA329" s="5" t="s">
        <v>1</v>
      </c>
      <c r="HB329" s="4" t="s">
        <v>1</v>
      </c>
      <c r="HC329" t="s">
        <v>1</v>
      </c>
      <c r="HD329" t="s">
        <v>1</v>
      </c>
      <c r="HE329" t="s">
        <v>1</v>
      </c>
      <c r="HF329" s="5" t="s">
        <v>1063</v>
      </c>
      <c r="HG329" s="4">
        <v>0.28532258064516125</v>
      </c>
      <c r="HH329">
        <v>0</v>
      </c>
      <c r="HI329">
        <v>20</v>
      </c>
      <c r="HJ329" s="26" t="s">
        <v>1358</v>
      </c>
      <c r="HK329" t="s">
        <v>815</v>
      </c>
      <c r="HL329">
        <v>1.52</v>
      </c>
      <c r="HM329">
        <v>0</v>
      </c>
      <c r="HN329">
        <v>20</v>
      </c>
      <c r="HO329" t="s">
        <v>1</v>
      </c>
      <c r="HP329" s="26" t="s">
        <v>1358</v>
      </c>
      <c r="HZ329" t="s">
        <v>966</v>
      </c>
      <c r="IA329">
        <v>80</v>
      </c>
      <c r="IB329" s="5" t="s">
        <v>1</v>
      </c>
      <c r="IC329" s="5"/>
      <c r="ID329" s="5"/>
      <c r="IE329" s="10" t="s">
        <v>1</v>
      </c>
      <c r="IF329" s="10" t="s">
        <v>1</v>
      </c>
      <c r="IG329" s="10"/>
      <c r="IH329" s="10"/>
      <c r="II329" s="10"/>
      <c r="IJ329" s="10"/>
      <c r="IK329" s="10"/>
      <c r="IL329" s="10"/>
      <c r="IM329" s="10"/>
      <c r="IN329" s="10"/>
      <c r="IO329" s="10"/>
      <c r="IP329" s="10"/>
      <c r="IQ329" s="10"/>
      <c r="IR329" s="10"/>
      <c r="IS329" t="s">
        <v>978</v>
      </c>
      <c r="IT329">
        <v>170</v>
      </c>
      <c r="IW329" t="s">
        <v>1</v>
      </c>
      <c r="IX329" t="s">
        <v>1</v>
      </c>
      <c r="IY329" t="s">
        <v>808</v>
      </c>
      <c r="IZ329">
        <v>2252.5</v>
      </c>
      <c r="JA329" t="s">
        <v>1</v>
      </c>
      <c r="JB329" s="3" t="s">
        <v>1</v>
      </c>
      <c r="JC329" t="s">
        <v>1</v>
      </c>
      <c r="JD329" s="4" t="s">
        <v>1</v>
      </c>
      <c r="JE329" t="s">
        <v>810</v>
      </c>
      <c r="JF329">
        <v>100</v>
      </c>
      <c r="JR329" t="s">
        <v>1066</v>
      </c>
      <c r="JS329">
        <v>315.60000000000002</v>
      </c>
      <c r="JU329" t="s">
        <v>1</v>
      </c>
      <c r="JW329" t="s">
        <v>1</v>
      </c>
      <c r="JX329">
        <v>0</v>
      </c>
      <c r="JY329">
        <v>64.999999999999986</v>
      </c>
      <c r="JZ329" t="s">
        <v>800</v>
      </c>
      <c r="KA329" t="s">
        <v>360</v>
      </c>
      <c r="KB329" t="s">
        <v>738</v>
      </c>
      <c r="KC329" t="s">
        <v>1</v>
      </c>
      <c r="KD329" t="s">
        <v>1</v>
      </c>
      <c r="KE329" s="1" t="s">
        <v>1</v>
      </c>
      <c r="KF329" t="s">
        <v>1</v>
      </c>
      <c r="KG329" t="s">
        <v>1</v>
      </c>
      <c r="KH329" t="s">
        <v>1</v>
      </c>
      <c r="KI329" t="s">
        <v>1</v>
      </c>
      <c r="KJ329" t="s">
        <v>1</v>
      </c>
      <c r="KK329" t="s">
        <v>1</v>
      </c>
    </row>
    <row r="330" spans="1:297" x14ac:dyDescent="0.2">
      <c r="A330">
        <v>298</v>
      </c>
      <c r="B330" t="s">
        <v>705</v>
      </c>
      <c r="C330" t="s">
        <v>366</v>
      </c>
      <c r="D330" t="s">
        <v>359</v>
      </c>
      <c r="E330">
        <v>52</v>
      </c>
      <c r="F330" t="s">
        <v>703</v>
      </c>
      <c r="G330" t="s">
        <v>1</v>
      </c>
      <c r="H330" s="26" t="s">
        <v>1420</v>
      </c>
      <c r="I330" t="s">
        <v>1</v>
      </c>
      <c r="J330" t="s">
        <v>1</v>
      </c>
      <c r="K330" t="s">
        <v>1</v>
      </c>
      <c r="L330" t="s">
        <v>1</v>
      </c>
      <c r="M330" t="s">
        <v>1</v>
      </c>
      <c r="N330" t="s">
        <v>1</v>
      </c>
      <c r="O330" t="s">
        <v>1</v>
      </c>
      <c r="P330" t="s">
        <v>1</v>
      </c>
      <c r="Q330" t="s">
        <v>1</v>
      </c>
      <c r="R330" t="s">
        <v>1</v>
      </c>
      <c r="S330" t="s">
        <v>1</v>
      </c>
      <c r="T330" t="s">
        <v>1</v>
      </c>
      <c r="U330" t="s">
        <v>1</v>
      </c>
      <c r="V330" t="s">
        <v>1</v>
      </c>
      <c r="W330" t="s">
        <v>1</v>
      </c>
      <c r="X330" t="s">
        <v>1</v>
      </c>
      <c r="Y330" t="s">
        <v>1</v>
      </c>
      <c r="Z330" t="s">
        <v>1</v>
      </c>
      <c r="AA330" t="s">
        <v>1</v>
      </c>
      <c r="AB330" t="s">
        <v>1</v>
      </c>
      <c r="AC330" t="s">
        <v>1</v>
      </c>
      <c r="AD330" t="s">
        <v>1</v>
      </c>
      <c r="AE330" t="s">
        <v>1</v>
      </c>
      <c r="AF330" t="s">
        <v>1</v>
      </c>
      <c r="AG330" t="s">
        <v>1</v>
      </c>
      <c r="AH330" t="s">
        <v>1</v>
      </c>
      <c r="AI330" t="s">
        <v>1</v>
      </c>
      <c r="AJ330" t="s">
        <v>1</v>
      </c>
      <c r="AK330" t="s">
        <v>1</v>
      </c>
      <c r="AL330" t="s">
        <v>1</v>
      </c>
      <c r="AM330" t="s">
        <v>1</v>
      </c>
      <c r="AN330">
        <v>298</v>
      </c>
      <c r="AO330">
        <f t="shared" si="45"/>
        <v>298</v>
      </c>
      <c r="AP330">
        <f t="shared" si="47"/>
        <v>52</v>
      </c>
      <c r="AQ330">
        <f t="shared" si="48"/>
        <v>52</v>
      </c>
      <c r="AR330" s="26" t="s">
        <v>1355</v>
      </c>
      <c r="AS330" s="26" t="s">
        <v>1356</v>
      </c>
      <c r="AT330" t="s">
        <v>727</v>
      </c>
      <c r="AU330" t="s">
        <v>1</v>
      </c>
      <c r="AV330" t="s">
        <v>1</v>
      </c>
      <c r="AW330">
        <v>39.82</v>
      </c>
      <c r="AX330">
        <v>-7.46</v>
      </c>
      <c r="AY330" t="s">
        <v>737</v>
      </c>
      <c r="BA330" s="3">
        <v>3</v>
      </c>
      <c r="BB330" s="3"/>
      <c r="BC330" s="3"/>
      <c r="BD330" s="3"/>
      <c r="BE330" s="3"/>
      <c r="BF330">
        <v>2008</v>
      </c>
      <c r="BG330" s="24" t="s">
        <v>733</v>
      </c>
      <c r="BH330" s="24" t="s">
        <v>733</v>
      </c>
      <c r="BI330" s="24" t="s">
        <v>733</v>
      </c>
      <c r="BJ330" s="24" t="s">
        <v>732</v>
      </c>
      <c r="BK330" s="24" t="s">
        <v>733</v>
      </c>
      <c r="BL330" s="25" t="s">
        <v>733</v>
      </c>
      <c r="BM330" s="24" t="s">
        <v>733</v>
      </c>
      <c r="BN330" s="24" t="s">
        <v>732</v>
      </c>
      <c r="BO330" s="24" t="s">
        <v>733</v>
      </c>
      <c r="BP330" s="24" t="s">
        <v>733</v>
      </c>
      <c r="BQ330" s="24" t="s">
        <v>945</v>
      </c>
      <c r="BR330" s="24" t="s">
        <v>945</v>
      </c>
      <c r="BS330" s="25" t="s">
        <v>934</v>
      </c>
      <c r="BT330" s="24" t="s">
        <v>934</v>
      </c>
      <c r="BU330" s="24" t="s">
        <v>934</v>
      </c>
      <c r="BV330" s="24" t="s">
        <v>934</v>
      </c>
      <c r="BW330" s="24" t="s">
        <v>934</v>
      </c>
      <c r="BX330" s="24" t="s">
        <v>934</v>
      </c>
      <c r="BY330" s="25" t="s">
        <v>945</v>
      </c>
      <c r="BZ330" t="s">
        <v>1397</v>
      </c>
      <c r="CB330" t="s">
        <v>1389</v>
      </c>
      <c r="CC330" s="4" t="s">
        <v>1</v>
      </c>
      <c r="CD330" s="4"/>
      <c r="CE330" s="4"/>
      <c r="CF330" t="s">
        <v>1</v>
      </c>
      <c r="CG330" t="s">
        <v>1</v>
      </c>
      <c r="CH330" t="s">
        <v>805</v>
      </c>
      <c r="CI330" s="28">
        <f t="shared" si="49"/>
        <v>1.25</v>
      </c>
      <c r="CJ330" s="10" t="s">
        <v>1442</v>
      </c>
      <c r="CK330" s="9" t="s">
        <v>1</v>
      </c>
      <c r="CL330" s="4" t="s">
        <v>1</v>
      </c>
      <c r="CM330" t="s">
        <v>847</v>
      </c>
      <c r="CN330" s="4">
        <f>AVERAGE(79+125,71+77)</f>
        <v>176</v>
      </c>
      <c r="CO330" s="4" t="s">
        <v>1</v>
      </c>
      <c r="CP330" s="4" t="s">
        <v>1</v>
      </c>
      <c r="CQ330" s="4" t="s">
        <v>1</v>
      </c>
      <c r="CR330" s="4" t="s">
        <v>1</v>
      </c>
      <c r="CS330" s="4" t="s">
        <v>1</v>
      </c>
      <c r="CT330" s="4" t="s">
        <v>1</v>
      </c>
      <c r="CU330" s="4" t="s">
        <v>1</v>
      </c>
      <c r="CV330" t="s">
        <v>855</v>
      </c>
      <c r="CW330">
        <v>100</v>
      </c>
      <c r="CX330">
        <v>0</v>
      </c>
      <c r="CY330">
        <v>20</v>
      </c>
      <c r="CZ330" s="26" t="s">
        <v>1358</v>
      </c>
      <c r="DA330" t="s">
        <v>734</v>
      </c>
      <c r="DB330">
        <v>76</v>
      </c>
      <c r="DC330">
        <v>0</v>
      </c>
      <c r="DD330">
        <v>20</v>
      </c>
      <c r="DE330" s="26" t="s">
        <v>1358</v>
      </c>
      <c r="DF330" t="s">
        <v>735</v>
      </c>
      <c r="DG330">
        <v>15</v>
      </c>
      <c r="DH330">
        <v>0</v>
      </c>
      <c r="DI330">
        <v>20</v>
      </c>
      <c r="DJ330" s="26" t="s">
        <v>1358</v>
      </c>
      <c r="DK330" t="s">
        <v>736</v>
      </c>
      <c r="DL330">
        <v>9</v>
      </c>
      <c r="DM330">
        <v>0</v>
      </c>
      <c r="DN330">
        <v>20</v>
      </c>
      <c r="DO330" s="26" t="s">
        <v>1358</v>
      </c>
      <c r="DP330" t="s">
        <v>6</v>
      </c>
      <c r="DQ330" t="s">
        <v>813</v>
      </c>
      <c r="DR330">
        <v>6</v>
      </c>
      <c r="DS330">
        <v>0</v>
      </c>
      <c r="DT330">
        <v>20</v>
      </c>
      <c r="DU330" s="26" t="s">
        <v>1358</v>
      </c>
      <c r="EA330" t="s">
        <v>982</v>
      </c>
      <c r="EB330">
        <v>7.1</v>
      </c>
      <c r="EC330">
        <v>0</v>
      </c>
      <c r="ED330">
        <v>20</v>
      </c>
      <c r="EE330" s="26" t="s">
        <v>1358</v>
      </c>
      <c r="EF330" s="26"/>
      <c r="FZ330" t="s">
        <v>806</v>
      </c>
      <c r="GA330">
        <v>907.34341199999994</v>
      </c>
      <c r="GE330" s="26" t="s">
        <v>1358</v>
      </c>
      <c r="HA330" s="5" t="s">
        <v>1</v>
      </c>
      <c r="HB330" s="4" t="s">
        <v>1</v>
      </c>
      <c r="HC330" t="s">
        <v>1</v>
      </c>
      <c r="HD330" t="s">
        <v>1</v>
      </c>
      <c r="HE330" t="s">
        <v>1</v>
      </c>
      <c r="HF330" s="5" t="s">
        <v>1063</v>
      </c>
      <c r="HG330" s="4">
        <v>0.28532258064516125</v>
      </c>
      <c r="HH330">
        <v>0</v>
      </c>
      <c r="HI330">
        <v>20</v>
      </c>
      <c r="HJ330" s="26" t="s">
        <v>1358</v>
      </c>
      <c r="HK330" t="s">
        <v>815</v>
      </c>
      <c r="HL330">
        <v>1.52</v>
      </c>
      <c r="HM330">
        <v>0</v>
      </c>
      <c r="HN330">
        <v>20</v>
      </c>
      <c r="HO330" t="s">
        <v>1</v>
      </c>
      <c r="HP330" s="26" t="s">
        <v>1358</v>
      </c>
      <c r="HZ330" t="s">
        <v>1295</v>
      </c>
      <c r="IA330">
        <v>80</v>
      </c>
      <c r="IB330" s="5" t="s">
        <v>830</v>
      </c>
      <c r="IC330" s="5"/>
      <c r="ID330" s="5"/>
      <c r="IE330" s="10" t="s">
        <v>1</v>
      </c>
      <c r="IF330" s="10" t="s">
        <v>1</v>
      </c>
      <c r="IG330" s="10"/>
      <c r="IH330" s="10"/>
      <c r="II330" s="10"/>
      <c r="IJ330" s="10"/>
      <c r="IK330" s="10"/>
      <c r="IL330" s="10"/>
      <c r="IM330" s="10"/>
      <c r="IN330" s="10"/>
      <c r="IO330" s="10"/>
      <c r="IP330" s="10"/>
      <c r="IQ330" s="10"/>
      <c r="IR330" s="10"/>
      <c r="IS330" t="s">
        <v>978</v>
      </c>
      <c r="IT330">
        <v>170</v>
      </c>
      <c r="IW330" t="s">
        <v>1</v>
      </c>
      <c r="IX330" t="s">
        <v>1</v>
      </c>
      <c r="IY330" t="s">
        <v>808</v>
      </c>
      <c r="IZ330">
        <v>2252.5</v>
      </c>
      <c r="JA330" t="s">
        <v>1</v>
      </c>
      <c r="JB330" s="3" t="s">
        <v>1</v>
      </c>
      <c r="JC330" t="s">
        <v>1</v>
      </c>
      <c r="JD330" s="4" t="s">
        <v>1</v>
      </c>
      <c r="JE330" t="s">
        <v>810</v>
      </c>
      <c r="JF330">
        <v>100</v>
      </c>
      <c r="JR330" t="s">
        <v>1066</v>
      </c>
      <c r="JS330">
        <v>314.7</v>
      </c>
      <c r="JU330" t="s">
        <v>1</v>
      </c>
      <c r="JW330" t="s">
        <v>1</v>
      </c>
      <c r="JX330">
        <v>0</v>
      </c>
      <c r="JY330">
        <v>64.999999999999986</v>
      </c>
      <c r="JZ330" t="s">
        <v>800</v>
      </c>
      <c r="KA330" t="s">
        <v>360</v>
      </c>
      <c r="KB330" t="s">
        <v>738</v>
      </c>
      <c r="KC330" t="s">
        <v>1</v>
      </c>
      <c r="KD330" t="s">
        <v>1</v>
      </c>
      <c r="KE330" s="1" t="s">
        <v>1</v>
      </c>
      <c r="KF330" t="s">
        <v>1</v>
      </c>
      <c r="KG330" t="s">
        <v>1</v>
      </c>
      <c r="KH330" t="s">
        <v>1</v>
      </c>
      <c r="KI330" t="s">
        <v>1</v>
      </c>
      <c r="KJ330" t="s">
        <v>1</v>
      </c>
      <c r="KK330" t="s">
        <v>1</v>
      </c>
    </row>
    <row r="331" spans="1:297" x14ac:dyDescent="0.2">
      <c r="A331">
        <v>299</v>
      </c>
      <c r="B331" t="s">
        <v>705</v>
      </c>
      <c r="C331" t="s">
        <v>369</v>
      </c>
      <c r="D331" t="s">
        <v>367</v>
      </c>
      <c r="E331">
        <v>53</v>
      </c>
      <c r="F331" t="s">
        <v>368</v>
      </c>
      <c r="G331" t="s">
        <v>1</v>
      </c>
      <c r="H331" s="26" t="s">
        <v>1420</v>
      </c>
      <c r="I331" t="s">
        <v>1</v>
      </c>
      <c r="J331" t="s">
        <v>1</v>
      </c>
      <c r="K331" t="s">
        <v>1</v>
      </c>
      <c r="L331" t="s">
        <v>1</v>
      </c>
      <c r="M331" t="s">
        <v>1</v>
      </c>
      <c r="N331" t="s">
        <v>1</v>
      </c>
      <c r="O331" t="s">
        <v>1</v>
      </c>
      <c r="P331" t="s">
        <v>1</v>
      </c>
      <c r="Q331" t="s">
        <v>1</v>
      </c>
      <c r="R331" t="s">
        <v>1</v>
      </c>
      <c r="S331" t="s">
        <v>1</v>
      </c>
      <c r="T331" t="s">
        <v>1</v>
      </c>
      <c r="U331" t="s">
        <v>1</v>
      </c>
      <c r="V331" t="s">
        <v>1</v>
      </c>
      <c r="W331" t="s">
        <v>1</v>
      </c>
      <c r="X331" t="s">
        <v>1</v>
      </c>
      <c r="Y331" t="s">
        <v>1</v>
      </c>
      <c r="Z331" t="s">
        <v>1</v>
      </c>
      <c r="AA331" t="s">
        <v>1</v>
      </c>
      <c r="AB331" t="s">
        <v>1</v>
      </c>
      <c r="AC331" t="s">
        <v>1</v>
      </c>
      <c r="AD331" t="s">
        <v>1</v>
      </c>
      <c r="AE331" t="s">
        <v>1</v>
      </c>
      <c r="AF331" t="s">
        <v>1</v>
      </c>
      <c r="AG331" t="s">
        <v>1</v>
      </c>
      <c r="AH331" t="s">
        <v>1</v>
      </c>
      <c r="AI331" t="s">
        <v>1</v>
      </c>
      <c r="AJ331" t="s">
        <v>1</v>
      </c>
      <c r="AK331" t="s">
        <v>1</v>
      </c>
      <c r="AL331" t="s">
        <v>1</v>
      </c>
      <c r="AM331" t="s">
        <v>1</v>
      </c>
      <c r="AN331">
        <v>299</v>
      </c>
      <c r="AO331">
        <f t="shared" si="45"/>
        <v>299</v>
      </c>
      <c r="AP331">
        <f t="shared" si="47"/>
        <v>53</v>
      </c>
      <c r="AQ331">
        <f t="shared" si="48"/>
        <v>53</v>
      </c>
      <c r="AR331" s="26" t="s">
        <v>1355</v>
      </c>
      <c r="AS331" s="26" t="s">
        <v>1356</v>
      </c>
      <c r="AT331" t="s">
        <v>710</v>
      </c>
      <c r="AU331" t="s">
        <v>1</v>
      </c>
      <c r="AV331" t="s">
        <v>1</v>
      </c>
      <c r="AW331">
        <v>29.98</v>
      </c>
      <c r="AX331">
        <v>121.03</v>
      </c>
      <c r="AY331" t="s">
        <v>737</v>
      </c>
      <c r="BA331" s="3">
        <v>4</v>
      </c>
      <c r="BB331" s="3"/>
      <c r="BC331" s="3"/>
      <c r="BD331" s="3"/>
      <c r="BE331" s="3"/>
      <c r="BF331">
        <v>2008</v>
      </c>
      <c r="BG331" s="24" t="s">
        <v>733</v>
      </c>
      <c r="BH331" s="24" t="s">
        <v>733</v>
      </c>
      <c r="BI331" s="24" t="s">
        <v>733</v>
      </c>
      <c r="BJ331" s="24" t="s">
        <v>732</v>
      </c>
      <c r="BK331" s="24" t="s">
        <v>733</v>
      </c>
      <c r="BL331" s="25" t="s">
        <v>733</v>
      </c>
      <c r="BM331" s="24" t="s">
        <v>733</v>
      </c>
      <c r="BN331" s="24" t="s">
        <v>732</v>
      </c>
      <c r="BO331" s="24" t="s">
        <v>733</v>
      </c>
      <c r="BP331" s="24" t="s">
        <v>733</v>
      </c>
      <c r="BQ331" s="24" t="s">
        <v>945</v>
      </c>
      <c r="BR331" s="24" t="s">
        <v>945</v>
      </c>
      <c r="BS331" s="25" t="s">
        <v>934</v>
      </c>
      <c r="BT331" s="24" t="s">
        <v>934</v>
      </c>
      <c r="BU331" s="24" t="s">
        <v>934</v>
      </c>
      <c r="BV331" s="24" t="s">
        <v>934</v>
      </c>
      <c r="BW331" s="24" t="s">
        <v>934</v>
      </c>
      <c r="BX331" s="24" t="s">
        <v>934</v>
      </c>
      <c r="BY331" s="25" t="s">
        <v>945</v>
      </c>
      <c r="BZ331" t="s">
        <v>788</v>
      </c>
      <c r="CB331" t="s">
        <v>370</v>
      </c>
      <c r="CC331" s="4" t="s">
        <v>1</v>
      </c>
      <c r="CD331" s="4"/>
      <c r="CE331" s="4"/>
      <c r="CF331" t="s">
        <v>1</v>
      </c>
      <c r="CG331" t="s">
        <v>1</v>
      </c>
      <c r="CH331" t="s">
        <v>805</v>
      </c>
      <c r="CI331" s="28">
        <f>AVERAGE(0.4,1)</f>
        <v>0.7</v>
      </c>
      <c r="CJ331" s="10" t="s">
        <v>1442</v>
      </c>
      <c r="CK331" s="9" t="s">
        <v>1</v>
      </c>
      <c r="CL331" s="4" t="s">
        <v>1</v>
      </c>
      <c r="CM331" t="s">
        <v>847</v>
      </c>
      <c r="CN331" s="4">
        <f>1185/10</f>
        <v>118.5</v>
      </c>
      <c r="CO331" s="4" t="s">
        <v>1</v>
      </c>
      <c r="CP331" s="4" t="s">
        <v>1</v>
      </c>
      <c r="CQ331" s="4" t="s">
        <v>1</v>
      </c>
      <c r="CR331" s="4" t="s">
        <v>1</v>
      </c>
      <c r="CS331" s="4" t="s">
        <v>1</v>
      </c>
      <c r="CT331" s="4" t="s">
        <v>1</v>
      </c>
      <c r="CU331" s="4" t="s">
        <v>1</v>
      </c>
      <c r="CV331" t="s">
        <v>854</v>
      </c>
      <c r="CW331">
        <v>100</v>
      </c>
      <c r="CX331">
        <v>0</v>
      </c>
      <c r="CY331">
        <v>15</v>
      </c>
      <c r="CZ331" s="26" t="s">
        <v>1358</v>
      </c>
      <c r="DA331" t="s">
        <v>734</v>
      </c>
      <c r="DB331">
        <v>48</v>
      </c>
      <c r="DC331">
        <v>0</v>
      </c>
      <c r="DD331">
        <v>15</v>
      </c>
      <c r="DE331" s="26" t="s">
        <v>1358</v>
      </c>
      <c r="DF331" t="s">
        <v>735</v>
      </c>
      <c r="DG331">
        <v>26.9</v>
      </c>
      <c r="DH331">
        <v>0</v>
      </c>
      <c r="DI331">
        <v>15</v>
      </c>
      <c r="DJ331" s="26" t="s">
        <v>1358</v>
      </c>
      <c r="DK331" t="s">
        <v>736</v>
      </c>
      <c r="DL331">
        <v>25.2</v>
      </c>
      <c r="DM331">
        <v>0</v>
      </c>
      <c r="DN331">
        <v>15</v>
      </c>
      <c r="DO331" s="26" t="s">
        <v>1358</v>
      </c>
      <c r="DP331" t="s">
        <v>6</v>
      </c>
      <c r="DQ331" t="s">
        <v>813</v>
      </c>
      <c r="DR331">
        <v>4.5</v>
      </c>
      <c r="DS331">
        <v>0</v>
      </c>
      <c r="DT331">
        <v>15</v>
      </c>
      <c r="DU331" s="26" t="s">
        <v>1358</v>
      </c>
      <c r="EA331" t="s">
        <v>982</v>
      </c>
      <c r="EB331">
        <v>13.799999999999999</v>
      </c>
      <c r="EC331">
        <v>0</v>
      </c>
      <c r="ED331">
        <v>15</v>
      </c>
      <c r="EE331" s="26" t="s">
        <v>1358</v>
      </c>
      <c r="EF331" s="26"/>
      <c r="FZ331" t="s">
        <v>806</v>
      </c>
      <c r="GA331">
        <v>0</v>
      </c>
      <c r="GE331" s="26" t="s">
        <v>1358</v>
      </c>
      <c r="HA331" s="5" t="s">
        <v>1</v>
      </c>
      <c r="HB331" s="4" t="s">
        <v>1</v>
      </c>
      <c r="HC331" t="s">
        <v>1</v>
      </c>
      <c r="HD331" t="s">
        <v>1</v>
      </c>
      <c r="HE331" t="s">
        <v>1</v>
      </c>
      <c r="HF331" s="5" t="s">
        <v>1063</v>
      </c>
      <c r="HG331" s="4">
        <v>1.3999999999999997</v>
      </c>
      <c r="HH331">
        <v>0</v>
      </c>
      <c r="HI331">
        <v>15</v>
      </c>
      <c r="HJ331" s="26" t="s">
        <v>1358</v>
      </c>
      <c r="HK331" t="s">
        <v>1</v>
      </c>
      <c r="HL331" t="s">
        <v>1</v>
      </c>
      <c r="HM331" t="s">
        <v>1</v>
      </c>
      <c r="HN331" t="s">
        <v>1</v>
      </c>
      <c r="HO331" t="s">
        <v>1</v>
      </c>
      <c r="HP331" t="s">
        <v>1</v>
      </c>
      <c r="HZ331" t="s">
        <v>1</v>
      </c>
      <c r="IA331" t="s">
        <v>1</v>
      </c>
      <c r="IB331" s="10" t="s">
        <v>1</v>
      </c>
      <c r="IC331" s="10"/>
      <c r="ID331" s="10"/>
      <c r="IE331" s="10" t="s">
        <v>1</v>
      </c>
      <c r="IF331" s="10" t="s">
        <v>1</v>
      </c>
      <c r="IG331" s="10"/>
      <c r="IH331" s="10"/>
      <c r="II331" s="10"/>
      <c r="IJ331" s="10"/>
      <c r="IK331" s="10"/>
      <c r="IL331" s="10"/>
      <c r="IM331" s="10"/>
      <c r="IN331" s="10"/>
      <c r="IO331" s="10"/>
      <c r="IP331" s="10"/>
      <c r="IQ331" s="10"/>
      <c r="IR331" s="10"/>
      <c r="IS331" t="s">
        <v>1</v>
      </c>
      <c r="IT331" t="s">
        <v>1</v>
      </c>
      <c r="IW331" t="s">
        <v>1</v>
      </c>
      <c r="IX331" t="s">
        <v>1</v>
      </c>
      <c r="IY331" t="s">
        <v>808</v>
      </c>
      <c r="IZ331">
        <v>20300</v>
      </c>
      <c r="JA331" t="s">
        <v>1</v>
      </c>
      <c r="JB331" s="3" t="s">
        <v>1</v>
      </c>
      <c r="JC331" t="s">
        <v>1</v>
      </c>
      <c r="JD331" s="4" t="s">
        <v>1</v>
      </c>
      <c r="JE331" t="s">
        <v>1</v>
      </c>
      <c r="JF331" t="s">
        <v>1</v>
      </c>
      <c r="JR331" t="s">
        <v>1066</v>
      </c>
      <c r="JS331">
        <v>221.8</v>
      </c>
      <c r="JU331" t="s">
        <v>1</v>
      </c>
      <c r="JW331" t="s">
        <v>1</v>
      </c>
      <c r="JX331">
        <v>0</v>
      </c>
      <c r="JY331">
        <v>76</v>
      </c>
      <c r="JZ331" t="s">
        <v>799</v>
      </c>
      <c r="KA331" t="s">
        <v>371</v>
      </c>
      <c r="KB331" t="s">
        <v>738</v>
      </c>
      <c r="KC331" t="s">
        <v>1</v>
      </c>
      <c r="KD331" t="s">
        <v>1</v>
      </c>
      <c r="KE331" s="1" t="s">
        <v>1</v>
      </c>
      <c r="KF331" t="s">
        <v>1</v>
      </c>
      <c r="KG331" t="s">
        <v>1</v>
      </c>
      <c r="KH331" t="s">
        <v>1</v>
      </c>
      <c r="KI331" t="s">
        <v>1</v>
      </c>
      <c r="KJ331" t="s">
        <v>1</v>
      </c>
      <c r="KK331" t="s">
        <v>1</v>
      </c>
    </row>
    <row r="332" spans="1:297" x14ac:dyDescent="0.2">
      <c r="A332">
        <v>300</v>
      </c>
      <c r="B332" t="s">
        <v>705</v>
      </c>
      <c r="C332" t="s">
        <v>372</v>
      </c>
      <c r="D332" t="s">
        <v>367</v>
      </c>
      <c r="E332">
        <v>53</v>
      </c>
      <c r="F332" t="s">
        <v>368</v>
      </c>
      <c r="G332" t="s">
        <v>1</v>
      </c>
      <c r="H332" s="26" t="s">
        <v>1420</v>
      </c>
      <c r="I332" t="s">
        <v>1</v>
      </c>
      <c r="J332" t="s">
        <v>1</v>
      </c>
      <c r="K332" t="s">
        <v>1</v>
      </c>
      <c r="L332" t="s">
        <v>1</v>
      </c>
      <c r="M332" t="s">
        <v>1</v>
      </c>
      <c r="N332" t="s">
        <v>1</v>
      </c>
      <c r="O332" t="s">
        <v>1</v>
      </c>
      <c r="P332" t="s">
        <v>1</v>
      </c>
      <c r="Q332" t="s">
        <v>1</v>
      </c>
      <c r="R332" t="s">
        <v>1</v>
      </c>
      <c r="S332" t="s">
        <v>1</v>
      </c>
      <c r="T332" t="s">
        <v>1</v>
      </c>
      <c r="U332" t="s">
        <v>1</v>
      </c>
      <c r="V332" t="s">
        <v>1</v>
      </c>
      <c r="W332" t="s">
        <v>1</v>
      </c>
      <c r="X332" t="s">
        <v>1</v>
      </c>
      <c r="Y332" t="s">
        <v>1</v>
      </c>
      <c r="Z332" t="s">
        <v>1</v>
      </c>
      <c r="AA332" t="s">
        <v>1</v>
      </c>
      <c r="AB332" t="s">
        <v>1</v>
      </c>
      <c r="AC332" t="s">
        <v>1</v>
      </c>
      <c r="AD332" t="s">
        <v>1</v>
      </c>
      <c r="AE332" t="s">
        <v>1</v>
      </c>
      <c r="AF332" t="s">
        <v>1</v>
      </c>
      <c r="AG332" t="s">
        <v>1</v>
      </c>
      <c r="AH332" t="s">
        <v>1</v>
      </c>
      <c r="AI332" t="s">
        <v>1</v>
      </c>
      <c r="AJ332" t="s">
        <v>1</v>
      </c>
      <c r="AK332" t="s">
        <v>1</v>
      </c>
      <c r="AL332" t="s">
        <v>1</v>
      </c>
      <c r="AM332" t="s">
        <v>1</v>
      </c>
      <c r="AN332">
        <v>300</v>
      </c>
      <c r="AO332">
        <f t="shared" si="45"/>
        <v>300</v>
      </c>
      <c r="AP332">
        <f t="shared" si="47"/>
        <v>53</v>
      </c>
      <c r="AQ332">
        <f t="shared" si="48"/>
        <v>53</v>
      </c>
      <c r="AR332" s="26" t="s">
        <v>1355</v>
      </c>
      <c r="AS332" s="26" t="s">
        <v>1356</v>
      </c>
      <c r="AT332" t="s">
        <v>710</v>
      </c>
      <c r="AU332" t="s">
        <v>1</v>
      </c>
      <c r="AV332" t="s">
        <v>1</v>
      </c>
      <c r="AW332">
        <v>29.98</v>
      </c>
      <c r="AX332">
        <v>121.03</v>
      </c>
      <c r="AY332" t="s">
        <v>737</v>
      </c>
      <c r="BA332" s="3">
        <v>4</v>
      </c>
      <c r="BB332" s="3"/>
      <c r="BC332" s="3"/>
      <c r="BD332" s="3"/>
      <c r="BE332" s="3"/>
      <c r="BF332">
        <v>2008</v>
      </c>
      <c r="BG332" s="24" t="s">
        <v>733</v>
      </c>
      <c r="BH332" s="24" t="s">
        <v>733</v>
      </c>
      <c r="BI332" s="24" t="s">
        <v>733</v>
      </c>
      <c r="BJ332" s="24" t="s">
        <v>732</v>
      </c>
      <c r="BK332" s="24" t="s">
        <v>733</v>
      </c>
      <c r="BL332" s="25" t="s">
        <v>733</v>
      </c>
      <c r="BM332" s="24" t="s">
        <v>733</v>
      </c>
      <c r="BN332" s="24" t="s">
        <v>732</v>
      </c>
      <c r="BO332" s="24" t="s">
        <v>733</v>
      </c>
      <c r="BP332" s="24" t="s">
        <v>733</v>
      </c>
      <c r="BQ332" s="24" t="s">
        <v>945</v>
      </c>
      <c r="BR332" s="24" t="s">
        <v>945</v>
      </c>
      <c r="BS332" s="25" t="s">
        <v>934</v>
      </c>
      <c r="BT332" s="24" t="s">
        <v>934</v>
      </c>
      <c r="BU332" s="24" t="s">
        <v>934</v>
      </c>
      <c r="BV332" s="24" t="s">
        <v>934</v>
      </c>
      <c r="BW332" s="24" t="s">
        <v>934</v>
      </c>
      <c r="BX332" s="24" t="s">
        <v>934</v>
      </c>
      <c r="BY332" s="25" t="s">
        <v>945</v>
      </c>
      <c r="BZ332" t="s">
        <v>788</v>
      </c>
      <c r="CB332" t="s">
        <v>370</v>
      </c>
      <c r="CC332" s="4" t="s">
        <v>1</v>
      </c>
      <c r="CD332" s="4"/>
      <c r="CE332" s="4"/>
      <c r="CF332" t="s">
        <v>1</v>
      </c>
      <c r="CG332" t="s">
        <v>1</v>
      </c>
      <c r="CH332" t="s">
        <v>805</v>
      </c>
      <c r="CI332" s="28">
        <f>AVERAGE(0.4,1)</f>
        <v>0.7</v>
      </c>
      <c r="CJ332" s="10" t="s">
        <v>1442</v>
      </c>
      <c r="CK332" s="9" t="s">
        <v>1</v>
      </c>
      <c r="CL332" s="4" t="s">
        <v>1</v>
      </c>
      <c r="CM332" t="s">
        <v>847</v>
      </c>
      <c r="CN332" s="4">
        <f>2232/10</f>
        <v>223.2</v>
      </c>
      <c r="CO332" s="4" t="s">
        <v>1</v>
      </c>
      <c r="CP332" s="4" t="s">
        <v>1</v>
      </c>
      <c r="CQ332" s="4" t="s">
        <v>1</v>
      </c>
      <c r="CR332" s="4" t="s">
        <v>1</v>
      </c>
      <c r="CS332" s="4" t="s">
        <v>1</v>
      </c>
      <c r="CT332" s="4" t="s">
        <v>1</v>
      </c>
      <c r="CU332" s="4" t="s">
        <v>1</v>
      </c>
      <c r="CV332" t="s">
        <v>854</v>
      </c>
      <c r="CW332">
        <v>100</v>
      </c>
      <c r="CX332">
        <v>0</v>
      </c>
      <c r="CY332">
        <v>15</v>
      </c>
      <c r="CZ332" s="26" t="s">
        <v>1358</v>
      </c>
      <c r="DA332" t="s">
        <v>734</v>
      </c>
      <c r="DB332">
        <v>48</v>
      </c>
      <c r="DC332">
        <v>0</v>
      </c>
      <c r="DD332">
        <v>15</v>
      </c>
      <c r="DE332" s="26" t="s">
        <v>1358</v>
      </c>
      <c r="DF332" t="s">
        <v>735</v>
      </c>
      <c r="DG332">
        <v>26.9</v>
      </c>
      <c r="DH332">
        <v>0</v>
      </c>
      <c r="DI332">
        <v>15</v>
      </c>
      <c r="DJ332" s="26" t="s">
        <v>1358</v>
      </c>
      <c r="DK332" t="s">
        <v>736</v>
      </c>
      <c r="DL332">
        <v>25.2</v>
      </c>
      <c r="DM332">
        <v>0</v>
      </c>
      <c r="DN332">
        <v>15</v>
      </c>
      <c r="DO332" s="26" t="s">
        <v>1358</v>
      </c>
      <c r="DP332" t="s">
        <v>6</v>
      </c>
      <c r="DQ332" t="s">
        <v>813</v>
      </c>
      <c r="DR332">
        <v>4.5</v>
      </c>
      <c r="DS332">
        <v>0</v>
      </c>
      <c r="DT332">
        <v>15</v>
      </c>
      <c r="DU332" s="26" t="s">
        <v>1358</v>
      </c>
      <c r="EA332" t="s">
        <v>982</v>
      </c>
      <c r="EB332">
        <v>13.799999999999999</v>
      </c>
      <c r="EC332">
        <v>0</v>
      </c>
      <c r="ED332">
        <v>15</v>
      </c>
      <c r="EE332" s="26" t="s">
        <v>1358</v>
      </c>
      <c r="EF332" s="26"/>
      <c r="FZ332" t="s">
        <v>806</v>
      </c>
      <c r="GA332">
        <v>0</v>
      </c>
      <c r="GE332" s="26" t="s">
        <v>1358</v>
      </c>
      <c r="HA332" s="5" t="s">
        <v>1</v>
      </c>
      <c r="HB332" s="4" t="s">
        <v>1</v>
      </c>
      <c r="HC332" t="s">
        <v>1</v>
      </c>
      <c r="HD332" t="s">
        <v>1</v>
      </c>
      <c r="HE332" t="s">
        <v>1</v>
      </c>
      <c r="HF332" s="5" t="s">
        <v>1063</v>
      </c>
      <c r="HG332" s="4">
        <v>1.3999999999999997</v>
      </c>
      <c r="HH332">
        <v>0</v>
      </c>
      <c r="HI332">
        <v>15</v>
      </c>
      <c r="HJ332" s="26" t="s">
        <v>1358</v>
      </c>
      <c r="HK332" t="s">
        <v>1</v>
      </c>
      <c r="HL332" t="s">
        <v>1</v>
      </c>
      <c r="HM332" t="s">
        <v>1</v>
      </c>
      <c r="HN332" t="s">
        <v>1</v>
      </c>
      <c r="HO332" t="s">
        <v>1</v>
      </c>
      <c r="HP332" t="s">
        <v>1</v>
      </c>
      <c r="HZ332" t="s">
        <v>969</v>
      </c>
      <c r="IA332">
        <v>332</v>
      </c>
      <c r="IB332" s="10" t="s">
        <v>1</v>
      </c>
      <c r="IC332" s="10"/>
      <c r="ID332" s="10"/>
      <c r="IE332" s="10" t="s">
        <v>1</v>
      </c>
      <c r="IF332" s="10" t="s">
        <v>1</v>
      </c>
      <c r="IG332" s="10"/>
      <c r="IH332" s="10"/>
      <c r="II332" s="10"/>
      <c r="IJ332" s="10"/>
      <c r="IK332" s="10"/>
      <c r="IL332" s="10"/>
      <c r="IM332" s="10"/>
      <c r="IN332" s="10"/>
      <c r="IO332" s="10"/>
      <c r="IP332" s="10"/>
      <c r="IQ332" s="10"/>
      <c r="IR332" s="10"/>
      <c r="IS332" t="s">
        <v>1</v>
      </c>
      <c r="IT332" t="s">
        <v>1</v>
      </c>
      <c r="IW332" t="s">
        <v>1</v>
      </c>
      <c r="IX332" t="s">
        <v>1</v>
      </c>
      <c r="IY332" t="s">
        <v>808</v>
      </c>
      <c r="IZ332">
        <v>20300</v>
      </c>
      <c r="JA332" t="s">
        <v>1</v>
      </c>
      <c r="JB332" s="3" t="s">
        <v>1</v>
      </c>
      <c r="JC332" t="s">
        <v>1</v>
      </c>
      <c r="JD332" s="4" t="s">
        <v>1</v>
      </c>
      <c r="JE332" t="s">
        <v>1</v>
      </c>
      <c r="JF332" t="s">
        <v>1</v>
      </c>
      <c r="JR332" t="s">
        <v>1066</v>
      </c>
      <c r="JS332">
        <v>671.1</v>
      </c>
      <c r="JU332" t="s">
        <v>1</v>
      </c>
      <c r="JW332" t="s">
        <v>1</v>
      </c>
      <c r="JX332">
        <v>0</v>
      </c>
      <c r="JY332">
        <v>76</v>
      </c>
      <c r="JZ332" t="s">
        <v>799</v>
      </c>
      <c r="KA332" t="s">
        <v>371</v>
      </c>
      <c r="KB332" t="s">
        <v>738</v>
      </c>
      <c r="KC332" t="s">
        <v>1</v>
      </c>
      <c r="KD332" t="s">
        <v>1</v>
      </c>
      <c r="KE332" s="1" t="s">
        <v>1</v>
      </c>
      <c r="KF332" t="s">
        <v>1</v>
      </c>
      <c r="KG332" t="s">
        <v>1</v>
      </c>
      <c r="KH332" t="s">
        <v>1</v>
      </c>
      <c r="KI332" t="s">
        <v>1</v>
      </c>
      <c r="KJ332" t="s">
        <v>1</v>
      </c>
      <c r="KK332" t="s">
        <v>1</v>
      </c>
    </row>
    <row r="333" spans="1:297" x14ac:dyDescent="0.2">
      <c r="A333">
        <v>301</v>
      </c>
      <c r="B333" t="s">
        <v>705</v>
      </c>
      <c r="C333" t="s">
        <v>373</v>
      </c>
      <c r="D333" t="s">
        <v>367</v>
      </c>
      <c r="E333">
        <v>53</v>
      </c>
      <c r="F333" t="s">
        <v>368</v>
      </c>
      <c r="G333" t="s">
        <v>1</v>
      </c>
      <c r="H333" s="26" t="s">
        <v>1420</v>
      </c>
      <c r="I333" t="s">
        <v>1</v>
      </c>
      <c r="J333" t="s">
        <v>1</v>
      </c>
      <c r="K333" t="s">
        <v>1</v>
      </c>
      <c r="L333" t="s">
        <v>1</v>
      </c>
      <c r="M333" t="s">
        <v>1</v>
      </c>
      <c r="N333" t="s">
        <v>1</v>
      </c>
      <c r="O333" t="s">
        <v>1</v>
      </c>
      <c r="P333" t="s">
        <v>1</v>
      </c>
      <c r="Q333" t="s">
        <v>1</v>
      </c>
      <c r="R333" t="s">
        <v>1</v>
      </c>
      <c r="S333" t="s">
        <v>1</v>
      </c>
      <c r="T333" t="s">
        <v>1</v>
      </c>
      <c r="U333" t="s">
        <v>1</v>
      </c>
      <c r="V333" t="s">
        <v>1</v>
      </c>
      <c r="W333" t="s">
        <v>1</v>
      </c>
      <c r="X333" t="s">
        <v>1</v>
      </c>
      <c r="Y333" t="s">
        <v>1</v>
      </c>
      <c r="Z333" t="s">
        <v>1</v>
      </c>
      <c r="AA333" t="s">
        <v>1</v>
      </c>
      <c r="AB333" t="s">
        <v>1</v>
      </c>
      <c r="AC333" t="s">
        <v>1</v>
      </c>
      <c r="AD333" t="s">
        <v>1</v>
      </c>
      <c r="AE333" t="s">
        <v>1</v>
      </c>
      <c r="AF333" t="s">
        <v>1</v>
      </c>
      <c r="AG333" t="s">
        <v>1</v>
      </c>
      <c r="AH333" t="s">
        <v>1</v>
      </c>
      <c r="AI333" t="s">
        <v>1</v>
      </c>
      <c r="AJ333" t="s">
        <v>1</v>
      </c>
      <c r="AK333" t="s">
        <v>1</v>
      </c>
      <c r="AL333" t="s">
        <v>1</v>
      </c>
      <c r="AM333" t="s">
        <v>1</v>
      </c>
      <c r="AN333">
        <v>301</v>
      </c>
      <c r="AO333">
        <f t="shared" si="45"/>
        <v>301</v>
      </c>
      <c r="AP333">
        <f t="shared" si="47"/>
        <v>53</v>
      </c>
      <c r="AQ333">
        <f t="shared" si="48"/>
        <v>53</v>
      </c>
      <c r="AR333" s="26" t="s">
        <v>1355</v>
      </c>
      <c r="AS333" s="26" t="s">
        <v>1356</v>
      </c>
      <c r="AT333" t="s">
        <v>710</v>
      </c>
      <c r="AU333" t="s">
        <v>1</v>
      </c>
      <c r="AV333" t="s">
        <v>1</v>
      </c>
      <c r="AW333">
        <v>29.98</v>
      </c>
      <c r="AX333">
        <v>121.03</v>
      </c>
      <c r="AY333" t="s">
        <v>737</v>
      </c>
      <c r="BA333" s="3">
        <v>4</v>
      </c>
      <c r="BB333" s="3"/>
      <c r="BC333" s="3"/>
      <c r="BD333" s="3"/>
      <c r="BE333" s="3"/>
      <c r="BF333">
        <v>2008</v>
      </c>
      <c r="BG333" s="24" t="s">
        <v>733</v>
      </c>
      <c r="BH333" s="24" t="s">
        <v>733</v>
      </c>
      <c r="BI333" s="24" t="s">
        <v>733</v>
      </c>
      <c r="BJ333" s="24" t="s">
        <v>732</v>
      </c>
      <c r="BK333" s="24" t="s">
        <v>733</v>
      </c>
      <c r="BL333" s="25" t="s">
        <v>733</v>
      </c>
      <c r="BM333" s="24" t="s">
        <v>733</v>
      </c>
      <c r="BN333" s="24" t="s">
        <v>732</v>
      </c>
      <c r="BO333" s="24" t="s">
        <v>733</v>
      </c>
      <c r="BP333" s="24" t="s">
        <v>733</v>
      </c>
      <c r="BQ333" s="24" t="s">
        <v>945</v>
      </c>
      <c r="BR333" s="24" t="s">
        <v>945</v>
      </c>
      <c r="BS333" s="25" t="s">
        <v>934</v>
      </c>
      <c r="BT333" s="24" t="s">
        <v>934</v>
      </c>
      <c r="BU333" s="24" t="s">
        <v>934</v>
      </c>
      <c r="BV333" s="24" t="s">
        <v>934</v>
      </c>
      <c r="BW333" s="24" t="s">
        <v>934</v>
      </c>
      <c r="BX333" s="24" t="s">
        <v>934</v>
      </c>
      <c r="BY333" s="25" t="s">
        <v>945</v>
      </c>
      <c r="BZ333" t="s">
        <v>788</v>
      </c>
      <c r="CB333" t="s">
        <v>370</v>
      </c>
      <c r="CC333" s="4" t="s">
        <v>1</v>
      </c>
      <c r="CD333" s="4"/>
      <c r="CE333" s="4"/>
      <c r="CF333" t="s">
        <v>1</v>
      </c>
      <c r="CG333" t="s">
        <v>1</v>
      </c>
      <c r="CH333" t="s">
        <v>805</v>
      </c>
      <c r="CI333" s="28">
        <f>AVERAGE(0.4,1)</f>
        <v>0.7</v>
      </c>
      <c r="CJ333" s="10" t="s">
        <v>1442</v>
      </c>
      <c r="CK333" s="9" t="s">
        <v>1</v>
      </c>
      <c r="CL333" s="4" t="s">
        <v>1</v>
      </c>
      <c r="CM333" t="s">
        <v>847</v>
      </c>
      <c r="CN333" s="4">
        <f>2820/10</f>
        <v>282</v>
      </c>
      <c r="CO333" s="4" t="s">
        <v>1</v>
      </c>
      <c r="CP333" s="4" t="s">
        <v>1</v>
      </c>
      <c r="CQ333" s="4" t="s">
        <v>1</v>
      </c>
      <c r="CR333" s="4" t="s">
        <v>1</v>
      </c>
      <c r="CS333" s="4" t="s">
        <v>1</v>
      </c>
      <c r="CT333" s="4" t="s">
        <v>1</v>
      </c>
      <c r="CU333" s="4" t="s">
        <v>1</v>
      </c>
      <c r="CV333" t="s">
        <v>854</v>
      </c>
      <c r="CW333">
        <v>100</v>
      </c>
      <c r="CX333">
        <v>0</v>
      </c>
      <c r="CY333">
        <v>15</v>
      </c>
      <c r="CZ333" s="26" t="s">
        <v>1358</v>
      </c>
      <c r="DA333" t="s">
        <v>734</v>
      </c>
      <c r="DB333">
        <v>48</v>
      </c>
      <c r="DC333">
        <v>0</v>
      </c>
      <c r="DD333">
        <v>15</v>
      </c>
      <c r="DE333" s="26" t="s">
        <v>1358</v>
      </c>
      <c r="DF333" t="s">
        <v>735</v>
      </c>
      <c r="DG333">
        <v>26.9</v>
      </c>
      <c r="DH333">
        <v>0</v>
      </c>
      <c r="DI333">
        <v>15</v>
      </c>
      <c r="DJ333" s="26" t="s">
        <v>1358</v>
      </c>
      <c r="DK333" t="s">
        <v>736</v>
      </c>
      <c r="DL333">
        <v>25.2</v>
      </c>
      <c r="DM333">
        <v>0</v>
      </c>
      <c r="DN333">
        <v>15</v>
      </c>
      <c r="DO333" s="26" t="s">
        <v>1358</v>
      </c>
      <c r="DP333" t="s">
        <v>6</v>
      </c>
      <c r="DQ333" t="s">
        <v>813</v>
      </c>
      <c r="DR333">
        <v>4.5</v>
      </c>
      <c r="DS333">
        <v>0</v>
      </c>
      <c r="DT333">
        <v>15</v>
      </c>
      <c r="DU333" s="26" t="s">
        <v>1358</v>
      </c>
      <c r="EA333" t="s">
        <v>982</v>
      </c>
      <c r="EB333">
        <v>13.799999999999999</v>
      </c>
      <c r="EC333">
        <v>0</v>
      </c>
      <c r="ED333">
        <v>15</v>
      </c>
      <c r="EE333" s="26" t="s">
        <v>1358</v>
      </c>
      <c r="EF333" s="26"/>
      <c r="FZ333" t="s">
        <v>806</v>
      </c>
      <c r="GA333">
        <v>0</v>
      </c>
      <c r="GE333" s="26" t="s">
        <v>1358</v>
      </c>
      <c r="HA333" s="5" t="s">
        <v>1</v>
      </c>
      <c r="HB333" s="4" t="s">
        <v>1</v>
      </c>
      <c r="HC333" t="s">
        <v>1</v>
      </c>
      <c r="HD333" t="s">
        <v>1</v>
      </c>
      <c r="HE333" t="s">
        <v>1</v>
      </c>
      <c r="HF333" s="5" t="s">
        <v>1063</v>
      </c>
      <c r="HG333" s="4">
        <v>1.3999999999999997</v>
      </c>
      <c r="HH333">
        <v>0</v>
      </c>
      <c r="HI333">
        <v>15</v>
      </c>
      <c r="HJ333" s="26" t="s">
        <v>1358</v>
      </c>
      <c r="HK333" t="s">
        <v>1</v>
      </c>
      <c r="HL333" t="s">
        <v>1</v>
      </c>
      <c r="HM333" t="s">
        <v>1</v>
      </c>
      <c r="HN333" t="s">
        <v>1</v>
      </c>
      <c r="HO333" t="s">
        <v>1</v>
      </c>
      <c r="HP333" t="s">
        <v>1</v>
      </c>
      <c r="HZ333" t="s">
        <v>969</v>
      </c>
      <c r="IA333">
        <v>207</v>
      </c>
      <c r="IB333" s="10" t="s">
        <v>1</v>
      </c>
      <c r="IC333" s="10"/>
      <c r="ID333" s="10"/>
      <c r="IE333" s="10" t="s">
        <v>1</v>
      </c>
      <c r="IF333" s="10" t="s">
        <v>1</v>
      </c>
      <c r="IG333" s="10"/>
      <c r="IH333" s="10"/>
      <c r="II333" s="10"/>
      <c r="IJ333" s="10"/>
      <c r="IK333" s="10"/>
      <c r="IL333" s="10"/>
      <c r="IM333" s="10"/>
      <c r="IN333" s="10"/>
      <c r="IO333" s="10"/>
      <c r="IP333" s="10"/>
      <c r="IQ333" s="10"/>
      <c r="IR333" s="10"/>
      <c r="IS333" t="s">
        <v>978</v>
      </c>
      <c r="IT333">
        <v>500</v>
      </c>
      <c r="IW333" t="s">
        <v>1</v>
      </c>
      <c r="IX333" t="s">
        <v>1</v>
      </c>
      <c r="IY333" t="s">
        <v>808</v>
      </c>
      <c r="IZ333">
        <v>20300</v>
      </c>
      <c r="JA333" t="s">
        <v>1</v>
      </c>
      <c r="JB333" s="3" t="s">
        <v>1</v>
      </c>
      <c r="JC333" t="s">
        <v>1</v>
      </c>
      <c r="JD333" s="4" t="s">
        <v>1</v>
      </c>
      <c r="JE333" t="s">
        <v>1</v>
      </c>
      <c r="JF333" t="s">
        <v>1</v>
      </c>
      <c r="JR333" t="s">
        <v>1066</v>
      </c>
      <c r="JS333">
        <v>355.9</v>
      </c>
      <c r="JU333" t="s">
        <v>1</v>
      </c>
      <c r="JW333" t="s">
        <v>1</v>
      </c>
      <c r="JX333">
        <v>0</v>
      </c>
      <c r="JY333">
        <v>76</v>
      </c>
      <c r="JZ333" t="s">
        <v>799</v>
      </c>
      <c r="KA333" t="s">
        <v>371</v>
      </c>
      <c r="KB333" t="s">
        <v>738</v>
      </c>
      <c r="KC333" t="s">
        <v>1</v>
      </c>
      <c r="KD333" t="s">
        <v>1</v>
      </c>
      <c r="KE333" s="1" t="s">
        <v>1</v>
      </c>
      <c r="KF333" t="s">
        <v>1</v>
      </c>
      <c r="KG333" t="s">
        <v>1</v>
      </c>
      <c r="KH333" t="s">
        <v>1</v>
      </c>
      <c r="KI333" t="s">
        <v>1</v>
      </c>
      <c r="KJ333" t="s">
        <v>1</v>
      </c>
      <c r="KK333" t="s">
        <v>1</v>
      </c>
    </row>
    <row r="334" spans="1:297" x14ac:dyDescent="0.2">
      <c r="A334">
        <v>302</v>
      </c>
      <c r="B334" t="s">
        <v>705</v>
      </c>
      <c r="C334" t="s">
        <v>374</v>
      </c>
      <c r="D334" t="s">
        <v>367</v>
      </c>
      <c r="E334">
        <v>53</v>
      </c>
      <c r="F334" t="s">
        <v>368</v>
      </c>
      <c r="G334" t="s">
        <v>1</v>
      </c>
      <c r="H334" s="26" t="s">
        <v>1420</v>
      </c>
      <c r="I334" t="s">
        <v>1</v>
      </c>
      <c r="J334" t="s">
        <v>1</v>
      </c>
      <c r="K334" t="s">
        <v>1</v>
      </c>
      <c r="L334" t="s">
        <v>1</v>
      </c>
      <c r="M334" t="s">
        <v>1</v>
      </c>
      <c r="N334" t="s">
        <v>1</v>
      </c>
      <c r="O334" t="s">
        <v>1</v>
      </c>
      <c r="P334" t="s">
        <v>1</v>
      </c>
      <c r="Q334" t="s">
        <v>1</v>
      </c>
      <c r="R334" t="s">
        <v>1</v>
      </c>
      <c r="S334" t="s">
        <v>1</v>
      </c>
      <c r="T334" t="s">
        <v>1</v>
      </c>
      <c r="U334" t="s">
        <v>1</v>
      </c>
      <c r="V334" t="s">
        <v>1</v>
      </c>
      <c r="W334" t="s">
        <v>1</v>
      </c>
      <c r="X334" t="s">
        <v>1</v>
      </c>
      <c r="Y334" t="s">
        <v>1</v>
      </c>
      <c r="Z334" t="s">
        <v>1</v>
      </c>
      <c r="AA334" t="s">
        <v>1</v>
      </c>
      <c r="AB334" t="s">
        <v>1</v>
      </c>
      <c r="AC334" t="s">
        <v>1</v>
      </c>
      <c r="AD334" t="s">
        <v>1</v>
      </c>
      <c r="AE334" t="s">
        <v>1</v>
      </c>
      <c r="AF334" t="s">
        <v>1</v>
      </c>
      <c r="AG334" t="s">
        <v>1</v>
      </c>
      <c r="AH334" t="s">
        <v>1</v>
      </c>
      <c r="AI334" t="s">
        <v>1</v>
      </c>
      <c r="AJ334" t="s">
        <v>1</v>
      </c>
      <c r="AK334" t="s">
        <v>1</v>
      </c>
      <c r="AL334" t="s">
        <v>1</v>
      </c>
      <c r="AM334" t="s">
        <v>1</v>
      </c>
      <c r="AN334">
        <v>302</v>
      </c>
      <c r="AO334">
        <f t="shared" si="45"/>
        <v>302</v>
      </c>
      <c r="AP334">
        <f t="shared" si="47"/>
        <v>53</v>
      </c>
      <c r="AQ334">
        <f t="shared" si="48"/>
        <v>53</v>
      </c>
      <c r="AR334" s="26" t="s">
        <v>1355</v>
      </c>
      <c r="AS334" s="26" t="s">
        <v>1356</v>
      </c>
      <c r="AT334" t="s">
        <v>710</v>
      </c>
      <c r="AU334" t="s">
        <v>1</v>
      </c>
      <c r="AV334" t="s">
        <v>1</v>
      </c>
      <c r="AW334">
        <v>29.98</v>
      </c>
      <c r="AX334">
        <v>121.03</v>
      </c>
      <c r="AY334" t="s">
        <v>737</v>
      </c>
      <c r="BA334" s="3">
        <v>4</v>
      </c>
      <c r="BB334" s="3"/>
      <c r="BC334" s="3"/>
      <c r="BD334" s="3"/>
      <c r="BE334" s="3"/>
      <c r="BF334">
        <v>2008</v>
      </c>
      <c r="BG334" s="24" t="s">
        <v>733</v>
      </c>
      <c r="BH334" s="24" t="s">
        <v>733</v>
      </c>
      <c r="BI334" s="24" t="s">
        <v>733</v>
      </c>
      <c r="BJ334" s="24" t="s">
        <v>732</v>
      </c>
      <c r="BK334" s="24" t="s">
        <v>733</v>
      </c>
      <c r="BL334" s="25" t="s">
        <v>733</v>
      </c>
      <c r="BM334" s="24" t="s">
        <v>733</v>
      </c>
      <c r="BN334" s="24" t="s">
        <v>732</v>
      </c>
      <c r="BO334" s="24" t="s">
        <v>733</v>
      </c>
      <c r="BP334" s="24" t="s">
        <v>733</v>
      </c>
      <c r="BQ334" s="24" t="s">
        <v>945</v>
      </c>
      <c r="BR334" s="24" t="s">
        <v>945</v>
      </c>
      <c r="BS334" s="25" t="s">
        <v>934</v>
      </c>
      <c r="BT334" s="24" t="s">
        <v>934</v>
      </c>
      <c r="BU334" s="24" t="s">
        <v>934</v>
      </c>
      <c r="BV334" s="24" t="s">
        <v>934</v>
      </c>
      <c r="BW334" s="24" t="s">
        <v>934</v>
      </c>
      <c r="BX334" s="24" t="s">
        <v>934</v>
      </c>
      <c r="BY334" s="25" t="s">
        <v>945</v>
      </c>
      <c r="BZ334" t="s">
        <v>788</v>
      </c>
      <c r="CB334" t="s">
        <v>370</v>
      </c>
      <c r="CC334" s="4" t="s">
        <v>1</v>
      </c>
      <c r="CD334" s="4"/>
      <c r="CE334" s="4"/>
      <c r="CF334" t="s">
        <v>1</v>
      </c>
      <c r="CG334" t="s">
        <v>1</v>
      </c>
      <c r="CH334" t="s">
        <v>805</v>
      </c>
      <c r="CI334" s="28">
        <f>AVERAGE(0.4,1)</f>
        <v>0.7</v>
      </c>
      <c r="CJ334" s="10" t="s">
        <v>1442</v>
      </c>
      <c r="CK334" s="9" t="s">
        <v>1</v>
      </c>
      <c r="CL334" s="4" t="s">
        <v>1</v>
      </c>
      <c r="CM334" t="s">
        <v>847</v>
      </c>
      <c r="CN334" s="4">
        <f>3279/10</f>
        <v>327.9</v>
      </c>
      <c r="CO334" s="4" t="s">
        <v>1</v>
      </c>
      <c r="CP334" s="4" t="s">
        <v>1</v>
      </c>
      <c r="CQ334" s="4" t="s">
        <v>1</v>
      </c>
      <c r="CR334" s="4" t="s">
        <v>1</v>
      </c>
      <c r="CS334" s="4" t="s">
        <v>1</v>
      </c>
      <c r="CT334" s="4" t="s">
        <v>1</v>
      </c>
      <c r="CU334" s="4" t="s">
        <v>1</v>
      </c>
      <c r="CV334" t="s">
        <v>854</v>
      </c>
      <c r="CW334">
        <v>100</v>
      </c>
      <c r="CX334">
        <v>0</v>
      </c>
      <c r="CY334">
        <v>15</v>
      </c>
      <c r="CZ334" s="26" t="s">
        <v>1358</v>
      </c>
      <c r="DA334" t="s">
        <v>734</v>
      </c>
      <c r="DB334">
        <v>48</v>
      </c>
      <c r="DC334">
        <v>0</v>
      </c>
      <c r="DD334">
        <v>15</v>
      </c>
      <c r="DE334" s="26" t="s">
        <v>1358</v>
      </c>
      <c r="DF334" t="s">
        <v>735</v>
      </c>
      <c r="DG334">
        <v>26.9</v>
      </c>
      <c r="DH334">
        <v>0</v>
      </c>
      <c r="DI334">
        <v>15</v>
      </c>
      <c r="DJ334" s="26" t="s">
        <v>1358</v>
      </c>
      <c r="DK334" t="s">
        <v>736</v>
      </c>
      <c r="DL334">
        <v>25.2</v>
      </c>
      <c r="DM334">
        <v>0</v>
      </c>
      <c r="DN334">
        <v>15</v>
      </c>
      <c r="DO334" s="26" t="s">
        <v>1358</v>
      </c>
      <c r="DP334" t="s">
        <v>6</v>
      </c>
      <c r="DQ334" t="s">
        <v>813</v>
      </c>
      <c r="DR334">
        <v>4.5</v>
      </c>
      <c r="DS334">
        <v>0</v>
      </c>
      <c r="DT334">
        <v>15</v>
      </c>
      <c r="DU334" s="26" t="s">
        <v>1358</v>
      </c>
      <c r="EA334" t="s">
        <v>982</v>
      </c>
      <c r="EB334">
        <v>13.799999999999999</v>
      </c>
      <c r="EC334">
        <v>0</v>
      </c>
      <c r="ED334">
        <v>15</v>
      </c>
      <c r="EE334" s="26" t="s">
        <v>1358</v>
      </c>
      <c r="EF334" s="26"/>
      <c r="FZ334" t="s">
        <v>806</v>
      </c>
      <c r="GA334">
        <v>0</v>
      </c>
      <c r="GE334" s="26" t="s">
        <v>1358</v>
      </c>
      <c r="HA334" s="5" t="s">
        <v>1</v>
      </c>
      <c r="HB334" s="4" t="s">
        <v>1</v>
      </c>
      <c r="HC334" t="s">
        <v>1</v>
      </c>
      <c r="HD334" t="s">
        <v>1</v>
      </c>
      <c r="HE334" t="s">
        <v>1</v>
      </c>
      <c r="HF334" s="5" t="s">
        <v>1063</v>
      </c>
      <c r="HG334" s="4">
        <v>1.3999999999999997</v>
      </c>
      <c r="HH334">
        <v>0</v>
      </c>
      <c r="HI334">
        <v>15</v>
      </c>
      <c r="HJ334" s="26" t="s">
        <v>1358</v>
      </c>
      <c r="HK334" t="s">
        <v>1</v>
      </c>
      <c r="HL334" t="s">
        <v>1</v>
      </c>
      <c r="HM334" t="s">
        <v>1</v>
      </c>
      <c r="HN334" t="s">
        <v>1</v>
      </c>
      <c r="HO334" t="s">
        <v>1</v>
      </c>
      <c r="HP334" t="s">
        <v>1</v>
      </c>
      <c r="HZ334" t="s">
        <v>969</v>
      </c>
      <c r="IA334">
        <v>332</v>
      </c>
      <c r="IB334" s="10" t="s">
        <v>1</v>
      </c>
      <c r="IC334" s="10"/>
      <c r="ID334" s="10"/>
      <c r="IE334" s="10" t="s">
        <v>1</v>
      </c>
      <c r="IF334" s="10" t="s">
        <v>1</v>
      </c>
      <c r="IG334" s="10"/>
      <c r="IH334" s="10"/>
      <c r="II334" s="10"/>
      <c r="IJ334" s="10"/>
      <c r="IK334" s="10"/>
      <c r="IL334" s="10"/>
      <c r="IM334" s="10"/>
      <c r="IN334" s="10"/>
      <c r="IO334" s="10"/>
      <c r="IP334" s="10"/>
      <c r="IQ334" s="10"/>
      <c r="IR334" s="10"/>
      <c r="IS334" t="s">
        <v>978</v>
      </c>
      <c r="IT334">
        <v>500</v>
      </c>
      <c r="IW334" t="s">
        <v>1</v>
      </c>
      <c r="IX334" t="s">
        <v>1</v>
      </c>
      <c r="IY334" t="s">
        <v>808</v>
      </c>
      <c r="IZ334">
        <v>20300</v>
      </c>
      <c r="JA334" t="s">
        <v>1</v>
      </c>
      <c r="JB334" s="3" t="s">
        <v>1</v>
      </c>
      <c r="JC334" t="s">
        <v>1</v>
      </c>
      <c r="JD334" s="4" t="s">
        <v>1</v>
      </c>
      <c r="JE334" t="s">
        <v>1</v>
      </c>
      <c r="JF334" t="s">
        <v>1</v>
      </c>
      <c r="JR334" t="s">
        <v>1066</v>
      </c>
      <c r="JS334">
        <v>429.4</v>
      </c>
      <c r="JU334" t="s">
        <v>1</v>
      </c>
      <c r="JW334" t="s">
        <v>1</v>
      </c>
      <c r="JX334">
        <v>0</v>
      </c>
      <c r="JY334">
        <v>76</v>
      </c>
      <c r="JZ334" t="s">
        <v>799</v>
      </c>
      <c r="KA334" t="s">
        <v>371</v>
      </c>
      <c r="KB334" t="s">
        <v>738</v>
      </c>
      <c r="KC334" t="s">
        <v>1</v>
      </c>
      <c r="KD334" t="s">
        <v>1</v>
      </c>
      <c r="KE334" s="1" t="s">
        <v>1</v>
      </c>
      <c r="KF334" t="s">
        <v>1</v>
      </c>
      <c r="KG334" t="s">
        <v>1</v>
      </c>
      <c r="KH334" t="s">
        <v>1</v>
      </c>
      <c r="KI334" t="s">
        <v>1</v>
      </c>
      <c r="KJ334" t="s">
        <v>1</v>
      </c>
      <c r="KK334" t="s">
        <v>1</v>
      </c>
    </row>
    <row r="335" spans="1:297" x14ac:dyDescent="0.2">
      <c r="A335">
        <v>303</v>
      </c>
      <c r="B335" t="s">
        <v>705</v>
      </c>
      <c r="C335" t="s">
        <v>377</v>
      </c>
      <c r="D335" t="s">
        <v>375</v>
      </c>
      <c r="E335">
        <v>54</v>
      </c>
      <c r="F335" t="s">
        <v>376</v>
      </c>
      <c r="G335" t="s">
        <v>1</v>
      </c>
      <c r="H335" s="26" t="s">
        <v>1420</v>
      </c>
      <c r="I335" t="s">
        <v>1</v>
      </c>
      <c r="J335" t="s">
        <v>1</v>
      </c>
      <c r="K335" t="s">
        <v>1</v>
      </c>
      <c r="L335" t="s">
        <v>1</v>
      </c>
      <c r="M335" t="s">
        <v>1</v>
      </c>
      <c r="N335" t="s">
        <v>1</v>
      </c>
      <c r="O335" t="s">
        <v>1</v>
      </c>
      <c r="P335" t="s">
        <v>1</v>
      </c>
      <c r="Q335" t="s">
        <v>1</v>
      </c>
      <c r="R335" t="s">
        <v>1</v>
      </c>
      <c r="S335" t="s">
        <v>1</v>
      </c>
      <c r="T335" t="s">
        <v>1</v>
      </c>
      <c r="U335" t="s">
        <v>1</v>
      </c>
      <c r="V335" t="s">
        <v>1</v>
      </c>
      <c r="W335" t="s">
        <v>1</v>
      </c>
      <c r="X335" t="s">
        <v>1</v>
      </c>
      <c r="Y335" t="s">
        <v>1</v>
      </c>
      <c r="Z335" t="s">
        <v>1</v>
      </c>
      <c r="AA335" t="s">
        <v>1</v>
      </c>
      <c r="AB335" t="s">
        <v>1</v>
      </c>
      <c r="AC335" t="s">
        <v>1</v>
      </c>
      <c r="AD335" t="s">
        <v>1</v>
      </c>
      <c r="AE335" t="s">
        <v>1</v>
      </c>
      <c r="AF335" t="s">
        <v>1</v>
      </c>
      <c r="AG335" t="s">
        <v>1</v>
      </c>
      <c r="AH335" t="s">
        <v>1</v>
      </c>
      <c r="AI335" t="s">
        <v>1</v>
      </c>
      <c r="AJ335" t="s">
        <v>1</v>
      </c>
      <c r="AK335" t="s">
        <v>1</v>
      </c>
      <c r="AL335" t="s">
        <v>1</v>
      </c>
      <c r="AM335" t="s">
        <v>1</v>
      </c>
      <c r="AN335">
        <v>303</v>
      </c>
      <c r="AO335">
        <f t="shared" si="45"/>
        <v>303</v>
      </c>
      <c r="AP335">
        <f t="shared" si="47"/>
        <v>54</v>
      </c>
      <c r="AQ335">
        <f t="shared" si="48"/>
        <v>54</v>
      </c>
      <c r="AR335" s="26" t="s">
        <v>1355</v>
      </c>
      <c r="AS335" s="26" t="s">
        <v>1356</v>
      </c>
      <c r="AT335" t="s">
        <v>711</v>
      </c>
      <c r="AU335" t="s">
        <v>1</v>
      </c>
      <c r="AV335" t="s">
        <v>1</v>
      </c>
      <c r="AW335">
        <v>42.08</v>
      </c>
      <c r="AX335">
        <v>3.05</v>
      </c>
      <c r="AY335" t="s">
        <v>737</v>
      </c>
      <c r="BA335" s="3">
        <v>1</v>
      </c>
      <c r="BB335" s="3"/>
      <c r="BC335" s="3"/>
      <c r="BD335" s="3"/>
      <c r="BE335" s="3"/>
      <c r="BF335">
        <v>2010</v>
      </c>
      <c r="BG335" s="24" t="s">
        <v>733</v>
      </c>
      <c r="BH335" s="24" t="s">
        <v>733</v>
      </c>
      <c r="BI335" s="24" t="s">
        <v>733</v>
      </c>
      <c r="BJ335" s="24" t="s">
        <v>732</v>
      </c>
      <c r="BK335" s="24" t="s">
        <v>733</v>
      </c>
      <c r="BL335" s="25" t="s">
        <v>733</v>
      </c>
      <c r="BM335" s="24" t="s">
        <v>733</v>
      </c>
      <c r="BN335" s="24" t="s">
        <v>732</v>
      </c>
      <c r="BO335" s="24" t="s">
        <v>733</v>
      </c>
      <c r="BP335" s="24" t="s">
        <v>733</v>
      </c>
      <c r="BQ335" s="24" t="s">
        <v>945</v>
      </c>
      <c r="BR335" s="24" t="s">
        <v>945</v>
      </c>
      <c r="BS335" s="25" t="s">
        <v>934</v>
      </c>
      <c r="BT335" s="24" t="s">
        <v>934</v>
      </c>
      <c r="BU335" s="24" t="s">
        <v>934</v>
      </c>
      <c r="BV335" s="24" t="s">
        <v>934</v>
      </c>
      <c r="BW335" s="24" t="s">
        <v>934</v>
      </c>
      <c r="BX335" s="24" t="s">
        <v>934</v>
      </c>
      <c r="BY335" s="25" t="s">
        <v>945</v>
      </c>
      <c r="BZ335" t="s">
        <v>5</v>
      </c>
      <c r="CB335" t="s">
        <v>1</v>
      </c>
      <c r="CC335" s="4">
        <f>13074*0.87</f>
        <v>11374.38</v>
      </c>
      <c r="CD335" s="4"/>
      <c r="CE335" s="4"/>
      <c r="CF335" t="s">
        <v>793</v>
      </c>
      <c r="CG335">
        <v>100</v>
      </c>
      <c r="CH335" t="s">
        <v>805</v>
      </c>
      <c r="CI335" s="28">
        <v>1</v>
      </c>
      <c r="CJ335" s="10" t="s">
        <v>1442</v>
      </c>
      <c r="CK335" s="9" t="s">
        <v>1</v>
      </c>
      <c r="CL335" s="4" t="s">
        <v>1</v>
      </c>
      <c r="CM335" s="4" t="s">
        <v>1</v>
      </c>
      <c r="CN335" s="4" t="s">
        <v>1</v>
      </c>
      <c r="CO335" s="4" t="s">
        <v>1</v>
      </c>
      <c r="CP335" s="4" t="s">
        <v>1</v>
      </c>
      <c r="CQ335" s="4" t="s">
        <v>1</v>
      </c>
      <c r="CR335" s="4" t="s">
        <v>1</v>
      </c>
      <c r="CS335" s="4" t="s">
        <v>1</v>
      </c>
      <c r="CT335" s="4" t="s">
        <v>1</v>
      </c>
      <c r="CU335" s="4" t="s">
        <v>1</v>
      </c>
      <c r="CV335" t="s">
        <v>1068</v>
      </c>
      <c r="CW335">
        <v>100</v>
      </c>
      <c r="CX335" s="28">
        <v>0</v>
      </c>
      <c r="CY335" s="28">
        <v>30</v>
      </c>
      <c r="CZ335" s="26" t="s">
        <v>1358</v>
      </c>
      <c r="DA335" t="s">
        <v>734</v>
      </c>
      <c r="DB335" s="28">
        <f>31.9/1.006</f>
        <v>31.709741550695824</v>
      </c>
      <c r="DC335" s="28">
        <v>0</v>
      </c>
      <c r="DD335" s="28">
        <v>30</v>
      </c>
      <c r="DE335" s="26" t="s">
        <v>1358</v>
      </c>
      <c r="DF335" t="s">
        <v>735</v>
      </c>
      <c r="DG335" s="28">
        <f>51.9/1.006</f>
        <v>51.590457256461228</v>
      </c>
      <c r="DH335" s="28">
        <v>0</v>
      </c>
      <c r="DI335" s="28">
        <v>30</v>
      </c>
      <c r="DJ335" s="26" t="s">
        <v>1358</v>
      </c>
      <c r="DK335" t="s">
        <v>736</v>
      </c>
      <c r="DL335" s="28">
        <f>16.8/1.006</f>
        <v>16.699801192842944</v>
      </c>
      <c r="DM335" s="28">
        <v>0</v>
      </c>
      <c r="DN335" s="28">
        <v>30</v>
      </c>
      <c r="DO335" s="26" t="s">
        <v>1358</v>
      </c>
      <c r="DP335" t="s">
        <v>1</v>
      </c>
      <c r="DQ335" t="s">
        <v>1</v>
      </c>
      <c r="DR335" t="s">
        <v>1</v>
      </c>
      <c r="DS335" t="s">
        <v>1</v>
      </c>
      <c r="DT335" t="s">
        <v>1</v>
      </c>
      <c r="DU335" t="s">
        <v>1</v>
      </c>
      <c r="DX335" s="28"/>
      <c r="DY335" s="28"/>
      <c r="DZ335" s="28"/>
      <c r="EA335" t="s">
        <v>982</v>
      </c>
      <c r="EB335">
        <v>9.9</v>
      </c>
      <c r="EC335" s="28">
        <v>0</v>
      </c>
      <c r="ED335" s="28">
        <v>30</v>
      </c>
      <c r="EE335" s="26" t="s">
        <v>1358</v>
      </c>
      <c r="EF335" s="26"/>
      <c r="EI335" s="28"/>
      <c r="EJ335" s="28"/>
      <c r="EK335" s="28"/>
      <c r="EL335" s="28"/>
      <c r="EM335" s="28"/>
      <c r="EN335" s="28"/>
      <c r="EO335" s="28"/>
      <c r="EP335" s="28"/>
      <c r="EQ335" s="28"/>
      <c r="ER335" s="28"/>
      <c r="ES335" s="28"/>
      <c r="ET335" s="28"/>
      <c r="EU335" s="28"/>
      <c r="EV335" s="28"/>
      <c r="EW335" s="28"/>
      <c r="EX335" s="28"/>
      <c r="EY335" s="28"/>
      <c r="EZ335" s="28"/>
      <c r="FA335" s="28"/>
      <c r="FB335" s="28"/>
      <c r="FC335" s="28"/>
      <c r="FD335" s="28"/>
      <c r="FE335" s="28"/>
      <c r="FF335" s="28"/>
      <c r="FG335" s="28"/>
      <c r="FH335" s="28"/>
      <c r="FI335" s="28"/>
      <c r="FJ335" s="28"/>
      <c r="FK335" s="28"/>
      <c r="FL335" s="28"/>
      <c r="FM335" s="28"/>
      <c r="FN335" s="28"/>
      <c r="FO335" s="28"/>
      <c r="FP335" s="28"/>
      <c r="FQ335" s="28"/>
      <c r="FR335" s="28"/>
      <c r="FS335" s="28"/>
      <c r="FT335" s="28"/>
      <c r="FU335" s="28"/>
      <c r="FV335" s="28"/>
      <c r="FW335" s="28"/>
      <c r="FX335" s="28"/>
      <c r="FY335" s="28"/>
      <c r="FZ335" t="s">
        <v>806</v>
      </c>
      <c r="GA335">
        <v>235</v>
      </c>
      <c r="GE335" s="26" t="s">
        <v>1358</v>
      </c>
      <c r="HA335" s="5" t="s">
        <v>1</v>
      </c>
      <c r="HB335" s="4" t="s">
        <v>1</v>
      </c>
      <c r="HC335" t="s">
        <v>1</v>
      </c>
      <c r="HD335" t="s">
        <v>1</v>
      </c>
      <c r="HE335" t="s">
        <v>1</v>
      </c>
      <c r="HF335" s="5" t="s">
        <v>1</v>
      </c>
      <c r="HG335" s="4" t="s">
        <v>1</v>
      </c>
      <c r="HH335" t="s">
        <v>1</v>
      </c>
      <c r="HI335" t="s">
        <v>1</v>
      </c>
      <c r="HJ335" t="s">
        <v>1</v>
      </c>
      <c r="HK335" t="s">
        <v>815</v>
      </c>
      <c r="HL335">
        <v>1.4019999999999999</v>
      </c>
      <c r="HM335" s="28">
        <v>0</v>
      </c>
      <c r="HN335" s="28">
        <v>30</v>
      </c>
      <c r="HO335" t="s">
        <v>1</v>
      </c>
      <c r="HP335" s="26" t="s">
        <v>1358</v>
      </c>
      <c r="HZ335" t="s">
        <v>1</v>
      </c>
      <c r="IA335" t="s">
        <v>1</v>
      </c>
      <c r="IB335" s="10" t="s">
        <v>1</v>
      </c>
      <c r="IC335" s="10"/>
      <c r="ID335" s="10"/>
      <c r="IE335" s="10" t="s">
        <v>1</v>
      </c>
      <c r="IF335" s="10" t="s">
        <v>1</v>
      </c>
      <c r="IG335" s="10"/>
      <c r="IH335" s="10"/>
      <c r="II335" s="10"/>
      <c r="IJ335" s="10"/>
      <c r="IK335" s="10"/>
      <c r="IL335" s="10"/>
      <c r="IM335" s="10"/>
      <c r="IN335" s="10"/>
      <c r="IO335" s="10"/>
      <c r="IP335" s="10"/>
      <c r="IQ335" s="10"/>
      <c r="IR335" s="10"/>
      <c r="IS335" t="s">
        <v>1</v>
      </c>
      <c r="IT335" t="s">
        <v>1</v>
      </c>
      <c r="IW335" t="s">
        <v>979</v>
      </c>
      <c r="IX335">
        <v>171</v>
      </c>
      <c r="IY335" t="s">
        <v>808</v>
      </c>
      <c r="IZ335">
        <v>2700</v>
      </c>
      <c r="JA335" t="s">
        <v>1</v>
      </c>
      <c r="JB335" s="3" t="s">
        <v>1</v>
      </c>
      <c r="JC335" t="s">
        <v>1</v>
      </c>
      <c r="JD335" s="4" t="s">
        <v>1</v>
      </c>
      <c r="JE335" t="s">
        <v>810</v>
      </c>
      <c r="JF335">
        <v>100</v>
      </c>
      <c r="JR335" t="s">
        <v>1066</v>
      </c>
      <c r="JS335">
        <v>79.2</v>
      </c>
      <c r="JU335" t="s">
        <v>1</v>
      </c>
      <c r="JW335" t="s">
        <v>1</v>
      </c>
      <c r="JX335">
        <v>0</v>
      </c>
      <c r="JY335">
        <v>100</v>
      </c>
      <c r="JZ335" t="s">
        <v>800</v>
      </c>
      <c r="KA335" t="s">
        <v>378</v>
      </c>
      <c r="KB335" t="s">
        <v>738</v>
      </c>
      <c r="KC335" t="s">
        <v>1</v>
      </c>
      <c r="KD335" t="s">
        <v>1</v>
      </c>
      <c r="KE335" s="1" t="s">
        <v>1</v>
      </c>
      <c r="KF335" t="s">
        <v>1</v>
      </c>
      <c r="KG335" t="s">
        <v>1</v>
      </c>
      <c r="KH335" t="s">
        <v>1</v>
      </c>
      <c r="KI335" t="s">
        <v>1</v>
      </c>
      <c r="KJ335" t="s">
        <v>1</v>
      </c>
      <c r="KK335" t="s">
        <v>1</v>
      </c>
    </row>
    <row r="336" spans="1:297" x14ac:dyDescent="0.2">
      <c r="A336">
        <v>304</v>
      </c>
      <c r="B336" t="s">
        <v>705</v>
      </c>
      <c r="C336" t="s">
        <v>379</v>
      </c>
      <c r="D336" t="s">
        <v>375</v>
      </c>
      <c r="E336">
        <v>54</v>
      </c>
      <c r="F336" t="s">
        <v>376</v>
      </c>
      <c r="G336" t="s">
        <v>1</v>
      </c>
      <c r="H336" s="26" t="s">
        <v>1420</v>
      </c>
      <c r="I336" t="s">
        <v>1</v>
      </c>
      <c r="J336" t="s">
        <v>1</v>
      </c>
      <c r="K336" t="s">
        <v>1</v>
      </c>
      <c r="L336" t="s">
        <v>1</v>
      </c>
      <c r="M336" t="s">
        <v>1</v>
      </c>
      <c r="N336" t="s">
        <v>1</v>
      </c>
      <c r="O336" t="s">
        <v>1</v>
      </c>
      <c r="P336" t="s">
        <v>1</v>
      </c>
      <c r="Q336" t="s">
        <v>1</v>
      </c>
      <c r="R336" t="s">
        <v>1</v>
      </c>
      <c r="S336" t="s">
        <v>1</v>
      </c>
      <c r="T336" t="s">
        <v>1</v>
      </c>
      <c r="U336" t="s">
        <v>1</v>
      </c>
      <c r="V336" t="s">
        <v>1</v>
      </c>
      <c r="W336" t="s">
        <v>1</v>
      </c>
      <c r="X336" t="s">
        <v>1</v>
      </c>
      <c r="Y336" t="s">
        <v>1</v>
      </c>
      <c r="Z336" t="s">
        <v>1</v>
      </c>
      <c r="AA336" t="s">
        <v>1</v>
      </c>
      <c r="AB336" t="s">
        <v>1</v>
      </c>
      <c r="AC336" t="s">
        <v>1</v>
      </c>
      <c r="AD336" t="s">
        <v>1</v>
      </c>
      <c r="AE336" t="s">
        <v>1</v>
      </c>
      <c r="AF336" t="s">
        <v>1</v>
      </c>
      <c r="AG336" t="s">
        <v>1</v>
      </c>
      <c r="AH336" t="s">
        <v>1</v>
      </c>
      <c r="AI336" t="s">
        <v>1</v>
      </c>
      <c r="AJ336" t="s">
        <v>1</v>
      </c>
      <c r="AK336" t="s">
        <v>1</v>
      </c>
      <c r="AL336" t="s">
        <v>1</v>
      </c>
      <c r="AM336" t="s">
        <v>1</v>
      </c>
      <c r="AN336">
        <v>304</v>
      </c>
      <c r="AO336">
        <f t="shared" si="45"/>
        <v>304</v>
      </c>
      <c r="AP336">
        <f t="shared" si="47"/>
        <v>54</v>
      </c>
      <c r="AQ336">
        <f t="shared" si="48"/>
        <v>54</v>
      </c>
      <c r="AR336" s="26" t="s">
        <v>1355</v>
      </c>
      <c r="AS336" s="26" t="s">
        <v>1356</v>
      </c>
      <c r="AT336" t="s">
        <v>711</v>
      </c>
      <c r="AU336" t="s">
        <v>1</v>
      </c>
      <c r="AV336" t="s">
        <v>1</v>
      </c>
      <c r="AW336">
        <v>42.08</v>
      </c>
      <c r="AX336">
        <v>3.05</v>
      </c>
      <c r="AY336" t="s">
        <v>737</v>
      </c>
      <c r="BA336" s="3">
        <v>1</v>
      </c>
      <c r="BB336" s="3"/>
      <c r="BC336" s="3"/>
      <c r="BD336" s="3"/>
      <c r="BE336" s="3"/>
      <c r="BF336">
        <v>2010</v>
      </c>
      <c r="BG336" s="24" t="s">
        <v>733</v>
      </c>
      <c r="BH336" s="24" t="s">
        <v>733</v>
      </c>
      <c r="BI336" s="24" t="s">
        <v>733</v>
      </c>
      <c r="BJ336" s="24" t="s">
        <v>732</v>
      </c>
      <c r="BK336" s="24" t="s">
        <v>733</v>
      </c>
      <c r="BL336" s="25" t="s">
        <v>733</v>
      </c>
      <c r="BM336" s="24" t="s">
        <v>733</v>
      </c>
      <c r="BN336" s="24" t="s">
        <v>732</v>
      </c>
      <c r="BO336" s="24" t="s">
        <v>733</v>
      </c>
      <c r="BP336" s="24" t="s">
        <v>733</v>
      </c>
      <c r="BQ336" s="24" t="s">
        <v>945</v>
      </c>
      <c r="BR336" s="24" t="s">
        <v>945</v>
      </c>
      <c r="BS336" s="25" t="s">
        <v>934</v>
      </c>
      <c r="BT336" s="24" t="s">
        <v>934</v>
      </c>
      <c r="BU336" s="24" t="s">
        <v>934</v>
      </c>
      <c r="BV336" s="24" t="s">
        <v>934</v>
      </c>
      <c r="BW336" s="24" t="s">
        <v>934</v>
      </c>
      <c r="BX336" s="24" t="s">
        <v>934</v>
      </c>
      <c r="BY336" s="25" t="s">
        <v>945</v>
      </c>
      <c r="BZ336" t="s">
        <v>5</v>
      </c>
      <c r="CB336" t="s">
        <v>1</v>
      </c>
      <c r="CC336" s="4">
        <f>12314*0.87</f>
        <v>10713.18</v>
      </c>
      <c r="CD336" s="4"/>
      <c r="CE336" s="4"/>
      <c r="CF336" t="s">
        <v>793</v>
      </c>
      <c r="CG336">
        <v>100</v>
      </c>
      <c r="CH336" t="s">
        <v>805</v>
      </c>
      <c r="CI336" s="28">
        <v>1</v>
      </c>
      <c r="CJ336" s="10" t="s">
        <v>1442</v>
      </c>
      <c r="CK336" s="9" t="s">
        <v>1</v>
      </c>
      <c r="CL336" s="4" t="s">
        <v>1</v>
      </c>
      <c r="CM336" s="4" t="s">
        <v>1</v>
      </c>
      <c r="CN336" s="4" t="s">
        <v>1</v>
      </c>
      <c r="CO336" s="4" t="s">
        <v>1</v>
      </c>
      <c r="CP336" s="4" t="s">
        <v>1</v>
      </c>
      <c r="CQ336" s="4" t="s">
        <v>1</v>
      </c>
      <c r="CR336" s="4" t="s">
        <v>1</v>
      </c>
      <c r="CS336" s="4" t="s">
        <v>1</v>
      </c>
      <c r="CT336" s="4" t="s">
        <v>1</v>
      </c>
      <c r="CU336" s="4" t="s">
        <v>1</v>
      </c>
      <c r="CV336" t="s">
        <v>1068</v>
      </c>
      <c r="CW336">
        <v>100</v>
      </c>
      <c r="CX336" s="28">
        <v>0</v>
      </c>
      <c r="CY336" s="28">
        <v>30</v>
      </c>
      <c r="CZ336" s="26" t="s">
        <v>1358</v>
      </c>
      <c r="DA336" t="s">
        <v>734</v>
      </c>
      <c r="DB336" s="28">
        <f t="shared" ref="DB336:DB337" si="50">31.9/1.006</f>
        <v>31.709741550695824</v>
      </c>
      <c r="DC336" s="28">
        <v>0</v>
      </c>
      <c r="DD336" s="28">
        <v>30</v>
      </c>
      <c r="DE336" s="26" t="s">
        <v>1358</v>
      </c>
      <c r="DF336" t="s">
        <v>735</v>
      </c>
      <c r="DG336" s="28">
        <f t="shared" ref="DG336:DG337" si="51">51.9/1.006</f>
        <v>51.590457256461228</v>
      </c>
      <c r="DH336" s="28">
        <v>0</v>
      </c>
      <c r="DI336" s="28">
        <v>30</v>
      </c>
      <c r="DJ336" s="26" t="s">
        <v>1358</v>
      </c>
      <c r="DK336" t="s">
        <v>736</v>
      </c>
      <c r="DL336" s="28">
        <f t="shared" ref="DL336:DL337" si="52">16.8/1.006</f>
        <v>16.699801192842944</v>
      </c>
      <c r="DM336" s="28">
        <v>0</v>
      </c>
      <c r="DN336" s="28">
        <v>30</v>
      </c>
      <c r="DO336" s="26" t="s">
        <v>1358</v>
      </c>
      <c r="DP336" t="s">
        <v>1</v>
      </c>
      <c r="DQ336" t="s">
        <v>1</v>
      </c>
      <c r="DR336" t="s">
        <v>1</v>
      </c>
      <c r="DS336" t="s">
        <v>1</v>
      </c>
      <c r="DT336" t="s">
        <v>1</v>
      </c>
      <c r="DU336" t="s">
        <v>1</v>
      </c>
      <c r="DX336" s="28"/>
      <c r="DY336" s="28"/>
      <c r="DZ336" s="28"/>
      <c r="EA336" t="s">
        <v>982</v>
      </c>
      <c r="EB336">
        <v>9.9</v>
      </c>
      <c r="EC336" s="28">
        <v>0</v>
      </c>
      <c r="ED336" s="28">
        <v>30</v>
      </c>
      <c r="EE336" s="26" t="s">
        <v>1358</v>
      </c>
      <c r="EF336" s="26"/>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8"/>
      <c r="FH336" s="28"/>
      <c r="FI336" s="28"/>
      <c r="FJ336" s="28"/>
      <c r="FK336" s="28"/>
      <c r="FL336" s="28"/>
      <c r="FM336" s="28"/>
      <c r="FN336" s="28"/>
      <c r="FO336" s="28"/>
      <c r="FP336" s="28"/>
      <c r="FQ336" s="28"/>
      <c r="FR336" s="28"/>
      <c r="FS336" s="28"/>
      <c r="FT336" s="28"/>
      <c r="FU336" s="28"/>
      <c r="FV336" s="28"/>
      <c r="FW336" s="28"/>
      <c r="FX336" s="28"/>
      <c r="FY336" s="28"/>
      <c r="FZ336" t="s">
        <v>806</v>
      </c>
      <c r="GA336">
        <v>235</v>
      </c>
      <c r="GE336" s="26" t="s">
        <v>1358</v>
      </c>
      <c r="HA336" s="5" t="s">
        <v>1</v>
      </c>
      <c r="HB336" s="4" t="s">
        <v>1</v>
      </c>
      <c r="HC336" t="s">
        <v>1</v>
      </c>
      <c r="HD336" t="s">
        <v>1</v>
      </c>
      <c r="HE336" t="s">
        <v>1</v>
      </c>
      <c r="HF336" s="5" t="s">
        <v>1</v>
      </c>
      <c r="HG336" s="4" t="s">
        <v>1</v>
      </c>
      <c r="HH336" t="s">
        <v>1</v>
      </c>
      <c r="HI336" t="s">
        <v>1</v>
      </c>
      <c r="HJ336" t="s">
        <v>1</v>
      </c>
      <c r="HK336" t="s">
        <v>815</v>
      </c>
      <c r="HL336">
        <v>1.4019999999999999</v>
      </c>
      <c r="HM336" s="28">
        <v>0</v>
      </c>
      <c r="HN336" s="28">
        <v>30</v>
      </c>
      <c r="HO336" t="s">
        <v>1</v>
      </c>
      <c r="HP336" s="26" t="s">
        <v>1358</v>
      </c>
      <c r="HZ336" t="s">
        <v>1295</v>
      </c>
      <c r="IA336">
        <v>75</v>
      </c>
      <c r="IB336" s="10" t="s">
        <v>832</v>
      </c>
      <c r="IC336" s="10"/>
      <c r="ID336" s="10"/>
      <c r="IE336" s="10" t="s">
        <v>1</v>
      </c>
      <c r="IF336" s="10" t="s">
        <v>1</v>
      </c>
      <c r="IG336" s="10"/>
      <c r="IH336" s="10"/>
      <c r="II336" s="10"/>
      <c r="IJ336" s="10"/>
      <c r="IK336" s="10"/>
      <c r="IL336" s="10"/>
      <c r="IM336" s="10"/>
      <c r="IN336" s="10"/>
      <c r="IO336" s="10"/>
      <c r="IP336" s="10"/>
      <c r="IQ336" s="10"/>
      <c r="IR336" s="10"/>
      <c r="IS336" t="s">
        <v>1</v>
      </c>
      <c r="IT336" t="s">
        <v>1</v>
      </c>
      <c r="IW336" t="s">
        <v>979</v>
      </c>
      <c r="IX336">
        <v>171</v>
      </c>
      <c r="IY336" t="s">
        <v>808</v>
      </c>
      <c r="IZ336">
        <v>2700</v>
      </c>
      <c r="JA336" t="s">
        <v>1</v>
      </c>
      <c r="JB336" s="3" t="s">
        <v>1</v>
      </c>
      <c r="JC336" t="s">
        <v>1</v>
      </c>
      <c r="JD336" s="4" t="s">
        <v>1</v>
      </c>
      <c r="JE336" t="s">
        <v>810</v>
      </c>
      <c r="JF336">
        <v>100</v>
      </c>
      <c r="JR336" t="s">
        <v>1066</v>
      </c>
      <c r="JS336">
        <v>50</v>
      </c>
      <c r="JU336" t="s">
        <v>1</v>
      </c>
      <c r="JW336" t="s">
        <v>1</v>
      </c>
      <c r="JX336">
        <v>0</v>
      </c>
      <c r="JY336">
        <v>100</v>
      </c>
      <c r="JZ336" t="s">
        <v>800</v>
      </c>
      <c r="KA336" t="s">
        <v>378</v>
      </c>
      <c r="KB336" t="s">
        <v>738</v>
      </c>
      <c r="KC336" t="s">
        <v>1</v>
      </c>
      <c r="KD336" t="s">
        <v>1</v>
      </c>
      <c r="KE336" s="1" t="s">
        <v>1</v>
      </c>
      <c r="KF336" t="s">
        <v>1</v>
      </c>
      <c r="KG336" t="s">
        <v>1</v>
      </c>
      <c r="KH336" t="s">
        <v>1</v>
      </c>
      <c r="KI336" t="s">
        <v>1</v>
      </c>
      <c r="KJ336" t="s">
        <v>1</v>
      </c>
      <c r="KK336" t="s">
        <v>1</v>
      </c>
    </row>
    <row r="337" spans="1:297" x14ac:dyDescent="0.2">
      <c r="A337">
        <v>305</v>
      </c>
      <c r="B337" t="s">
        <v>705</v>
      </c>
      <c r="C337" t="s">
        <v>380</v>
      </c>
      <c r="D337" t="s">
        <v>375</v>
      </c>
      <c r="E337">
        <v>54</v>
      </c>
      <c r="F337" t="s">
        <v>376</v>
      </c>
      <c r="G337" t="s">
        <v>1</v>
      </c>
      <c r="H337" s="26" t="s">
        <v>1420</v>
      </c>
      <c r="I337" t="s">
        <v>1</v>
      </c>
      <c r="J337" t="s">
        <v>1</v>
      </c>
      <c r="K337" t="s">
        <v>1</v>
      </c>
      <c r="L337" t="s">
        <v>1</v>
      </c>
      <c r="M337" t="s">
        <v>1</v>
      </c>
      <c r="N337" t="s">
        <v>1</v>
      </c>
      <c r="O337" t="s">
        <v>1</v>
      </c>
      <c r="P337" t="s">
        <v>1</v>
      </c>
      <c r="Q337" t="s">
        <v>1</v>
      </c>
      <c r="R337" t="s">
        <v>1</v>
      </c>
      <c r="S337" t="s">
        <v>1</v>
      </c>
      <c r="T337" t="s">
        <v>1</v>
      </c>
      <c r="U337" t="s">
        <v>1</v>
      </c>
      <c r="V337" t="s">
        <v>1</v>
      </c>
      <c r="W337" t="s">
        <v>1</v>
      </c>
      <c r="X337" t="s">
        <v>1</v>
      </c>
      <c r="Y337" t="s">
        <v>1</v>
      </c>
      <c r="Z337" t="s">
        <v>1</v>
      </c>
      <c r="AA337" t="s">
        <v>1</v>
      </c>
      <c r="AB337" t="s">
        <v>1</v>
      </c>
      <c r="AC337" t="s">
        <v>1</v>
      </c>
      <c r="AD337" t="s">
        <v>1</v>
      </c>
      <c r="AE337" t="s">
        <v>1</v>
      </c>
      <c r="AF337" t="s">
        <v>1</v>
      </c>
      <c r="AG337" t="s">
        <v>1</v>
      </c>
      <c r="AH337" t="s">
        <v>1</v>
      </c>
      <c r="AI337" t="s">
        <v>1</v>
      </c>
      <c r="AJ337" t="s">
        <v>1</v>
      </c>
      <c r="AK337" t="s">
        <v>1</v>
      </c>
      <c r="AL337" t="s">
        <v>1</v>
      </c>
      <c r="AM337" t="s">
        <v>1</v>
      </c>
      <c r="AN337">
        <v>305</v>
      </c>
      <c r="AO337">
        <f t="shared" si="45"/>
        <v>305</v>
      </c>
      <c r="AP337">
        <f t="shared" si="47"/>
        <v>54</v>
      </c>
      <c r="AQ337">
        <f t="shared" si="48"/>
        <v>54</v>
      </c>
      <c r="AR337" s="26" t="s">
        <v>1355</v>
      </c>
      <c r="AS337" s="26" t="s">
        <v>1356</v>
      </c>
      <c r="AT337" t="s">
        <v>711</v>
      </c>
      <c r="AU337" t="s">
        <v>1</v>
      </c>
      <c r="AV337" t="s">
        <v>1</v>
      </c>
      <c r="AW337">
        <v>42.08</v>
      </c>
      <c r="AX337">
        <v>3.05</v>
      </c>
      <c r="AY337" t="s">
        <v>737</v>
      </c>
      <c r="BA337" s="3">
        <v>1</v>
      </c>
      <c r="BB337" s="3"/>
      <c r="BC337" s="3"/>
      <c r="BD337" s="3"/>
      <c r="BE337" s="3"/>
      <c r="BF337">
        <v>2010</v>
      </c>
      <c r="BG337" s="24" t="s">
        <v>733</v>
      </c>
      <c r="BH337" s="24" t="s">
        <v>733</v>
      </c>
      <c r="BI337" s="24" t="s">
        <v>733</v>
      </c>
      <c r="BJ337" s="24" t="s">
        <v>732</v>
      </c>
      <c r="BK337" s="24" t="s">
        <v>733</v>
      </c>
      <c r="BL337" s="25" t="s">
        <v>733</v>
      </c>
      <c r="BM337" s="24" t="s">
        <v>733</v>
      </c>
      <c r="BN337" s="24" t="s">
        <v>732</v>
      </c>
      <c r="BO337" s="24" t="s">
        <v>733</v>
      </c>
      <c r="BP337" s="24" t="s">
        <v>733</v>
      </c>
      <c r="BQ337" s="24" t="s">
        <v>945</v>
      </c>
      <c r="BR337" s="24" t="s">
        <v>945</v>
      </c>
      <c r="BS337" s="25" t="s">
        <v>934</v>
      </c>
      <c r="BT337" s="24" t="s">
        <v>934</v>
      </c>
      <c r="BU337" s="24" t="s">
        <v>934</v>
      </c>
      <c r="BV337" s="24" t="s">
        <v>934</v>
      </c>
      <c r="BW337" s="24" t="s">
        <v>934</v>
      </c>
      <c r="BX337" s="24" t="s">
        <v>934</v>
      </c>
      <c r="BY337" s="25" t="s">
        <v>945</v>
      </c>
      <c r="BZ337" t="s">
        <v>5</v>
      </c>
      <c r="CB337" t="s">
        <v>1</v>
      </c>
      <c r="CC337" s="4">
        <f>14609*0.87</f>
        <v>12709.83</v>
      </c>
      <c r="CD337" s="4"/>
      <c r="CE337" s="4"/>
      <c r="CF337" t="s">
        <v>793</v>
      </c>
      <c r="CG337">
        <v>100</v>
      </c>
      <c r="CH337" t="s">
        <v>805</v>
      </c>
      <c r="CI337" s="28">
        <v>1</v>
      </c>
      <c r="CJ337" s="10" t="s">
        <v>1442</v>
      </c>
      <c r="CK337" s="9" t="s">
        <v>1</v>
      </c>
      <c r="CL337" s="4" t="s">
        <v>1</v>
      </c>
      <c r="CM337" s="4" t="s">
        <v>1</v>
      </c>
      <c r="CN337" s="4" t="s">
        <v>1</v>
      </c>
      <c r="CO337" s="4" t="s">
        <v>1</v>
      </c>
      <c r="CP337" s="4" t="s">
        <v>1</v>
      </c>
      <c r="CQ337" s="4" t="s">
        <v>1</v>
      </c>
      <c r="CR337" s="4" t="s">
        <v>1</v>
      </c>
      <c r="CS337" s="4" t="s">
        <v>1</v>
      </c>
      <c r="CT337" s="4" t="s">
        <v>1</v>
      </c>
      <c r="CU337" s="4" t="s">
        <v>1</v>
      </c>
      <c r="CV337" t="s">
        <v>1068</v>
      </c>
      <c r="CW337">
        <v>100</v>
      </c>
      <c r="CX337" s="28">
        <v>0</v>
      </c>
      <c r="CY337" s="28">
        <v>30</v>
      </c>
      <c r="CZ337" s="26" t="s">
        <v>1358</v>
      </c>
      <c r="DA337" t="s">
        <v>734</v>
      </c>
      <c r="DB337" s="28">
        <f t="shared" si="50"/>
        <v>31.709741550695824</v>
      </c>
      <c r="DC337" s="28">
        <v>0</v>
      </c>
      <c r="DD337" s="28">
        <v>30</v>
      </c>
      <c r="DE337" s="26" t="s">
        <v>1358</v>
      </c>
      <c r="DF337" t="s">
        <v>735</v>
      </c>
      <c r="DG337" s="28">
        <f t="shared" si="51"/>
        <v>51.590457256461228</v>
      </c>
      <c r="DH337" s="28">
        <v>0</v>
      </c>
      <c r="DI337" s="28">
        <v>30</v>
      </c>
      <c r="DJ337" s="26" t="s">
        <v>1358</v>
      </c>
      <c r="DK337" t="s">
        <v>736</v>
      </c>
      <c r="DL337" s="28">
        <f t="shared" si="52"/>
        <v>16.699801192842944</v>
      </c>
      <c r="DM337" s="28">
        <v>0</v>
      </c>
      <c r="DN337" s="28">
        <v>30</v>
      </c>
      <c r="DO337" s="26" t="s">
        <v>1358</v>
      </c>
      <c r="DP337" t="s">
        <v>1</v>
      </c>
      <c r="DQ337" t="s">
        <v>1</v>
      </c>
      <c r="DR337" t="s">
        <v>1</v>
      </c>
      <c r="DS337" t="s">
        <v>1</v>
      </c>
      <c r="DT337" t="s">
        <v>1</v>
      </c>
      <c r="DU337" t="s">
        <v>1</v>
      </c>
      <c r="DX337" s="28"/>
      <c r="DY337" s="28"/>
      <c r="DZ337" s="28"/>
      <c r="EA337" t="s">
        <v>982</v>
      </c>
      <c r="EB337">
        <v>9.9</v>
      </c>
      <c r="EC337" s="28">
        <v>0</v>
      </c>
      <c r="ED337" s="28">
        <v>30</v>
      </c>
      <c r="EE337" s="26" t="s">
        <v>1358</v>
      </c>
      <c r="EF337" s="26"/>
      <c r="EI337" s="28"/>
      <c r="EJ337" s="28"/>
      <c r="EK337" s="28"/>
      <c r="EL337" s="28"/>
      <c r="EM337" s="28"/>
      <c r="EN337" s="28"/>
      <c r="EO337" s="28"/>
      <c r="EP337" s="28"/>
      <c r="EQ337" s="28"/>
      <c r="ER337" s="28"/>
      <c r="ES337" s="28"/>
      <c r="ET337" s="28"/>
      <c r="EU337" s="28"/>
      <c r="EV337" s="28"/>
      <c r="EW337" s="28"/>
      <c r="EX337" s="28"/>
      <c r="EY337" s="28"/>
      <c r="EZ337" s="28"/>
      <c r="FA337" s="28"/>
      <c r="FB337" s="28"/>
      <c r="FC337" s="28"/>
      <c r="FD337" s="28"/>
      <c r="FE337" s="28"/>
      <c r="FF337" s="28"/>
      <c r="FG337" s="28"/>
      <c r="FH337" s="28"/>
      <c r="FI337" s="28"/>
      <c r="FJ337" s="28"/>
      <c r="FK337" s="28"/>
      <c r="FL337" s="28"/>
      <c r="FM337" s="28"/>
      <c r="FN337" s="28"/>
      <c r="FO337" s="28"/>
      <c r="FP337" s="28"/>
      <c r="FQ337" s="28"/>
      <c r="FR337" s="28"/>
      <c r="FS337" s="28"/>
      <c r="FT337" s="28"/>
      <c r="FU337" s="28"/>
      <c r="FV337" s="28"/>
      <c r="FW337" s="28"/>
      <c r="FX337" s="28"/>
      <c r="FY337" s="28"/>
      <c r="FZ337" t="s">
        <v>806</v>
      </c>
      <c r="GA337">
        <v>235</v>
      </c>
      <c r="GE337" s="26" t="s">
        <v>1358</v>
      </c>
      <c r="HA337" s="5" t="s">
        <v>1</v>
      </c>
      <c r="HB337" s="4" t="s">
        <v>1</v>
      </c>
      <c r="HC337" t="s">
        <v>1</v>
      </c>
      <c r="HD337" t="s">
        <v>1</v>
      </c>
      <c r="HE337" t="s">
        <v>1</v>
      </c>
      <c r="HF337" s="5" t="s">
        <v>1</v>
      </c>
      <c r="HG337" s="4" t="s">
        <v>1</v>
      </c>
      <c r="HH337" t="s">
        <v>1</v>
      </c>
      <c r="HI337" t="s">
        <v>1</v>
      </c>
      <c r="HJ337" t="s">
        <v>1</v>
      </c>
      <c r="HK337" t="s">
        <v>815</v>
      </c>
      <c r="HL337">
        <v>1.4019999999999999</v>
      </c>
      <c r="HM337" s="28">
        <v>0</v>
      </c>
      <c r="HN337" s="28">
        <v>30</v>
      </c>
      <c r="HO337" t="s">
        <v>1</v>
      </c>
      <c r="HP337" s="26" t="s">
        <v>1358</v>
      </c>
      <c r="HZ337" t="s">
        <v>1295</v>
      </c>
      <c r="IA337">
        <v>300</v>
      </c>
      <c r="IB337" s="10" t="s">
        <v>832</v>
      </c>
      <c r="IC337" s="10"/>
      <c r="ID337" s="10"/>
      <c r="IE337" s="10" t="s">
        <v>1</v>
      </c>
      <c r="IF337" s="10" t="s">
        <v>1</v>
      </c>
      <c r="IG337" s="10"/>
      <c r="IH337" s="10"/>
      <c r="II337" s="10"/>
      <c r="IJ337" s="10"/>
      <c r="IK337" s="10"/>
      <c r="IL337" s="10"/>
      <c r="IM337" s="10"/>
      <c r="IN337" s="10"/>
      <c r="IO337" s="10"/>
      <c r="IP337" s="10"/>
      <c r="IQ337" s="10"/>
      <c r="IR337" s="10"/>
      <c r="IS337" t="s">
        <v>1</v>
      </c>
      <c r="IT337" t="s">
        <v>1</v>
      </c>
      <c r="IW337" t="s">
        <v>979</v>
      </c>
      <c r="IX337">
        <v>171</v>
      </c>
      <c r="IY337" t="s">
        <v>808</v>
      </c>
      <c r="IZ337">
        <v>2700</v>
      </c>
      <c r="JA337" t="s">
        <v>1</v>
      </c>
      <c r="JB337" s="3" t="s">
        <v>1</v>
      </c>
      <c r="JC337" t="s">
        <v>1</v>
      </c>
      <c r="JD337" s="4" t="s">
        <v>1</v>
      </c>
      <c r="JE337" t="s">
        <v>810</v>
      </c>
      <c r="JF337">
        <v>100</v>
      </c>
      <c r="JR337" t="s">
        <v>1066</v>
      </c>
      <c r="JS337">
        <v>235.9</v>
      </c>
      <c r="JU337" t="s">
        <v>1</v>
      </c>
      <c r="JW337" t="s">
        <v>1</v>
      </c>
      <c r="JX337">
        <v>0</v>
      </c>
      <c r="JY337">
        <v>100</v>
      </c>
      <c r="JZ337" t="s">
        <v>800</v>
      </c>
      <c r="KA337" t="s">
        <v>378</v>
      </c>
      <c r="KB337" t="s">
        <v>738</v>
      </c>
      <c r="KC337" t="s">
        <v>1</v>
      </c>
      <c r="KD337" t="s">
        <v>1</v>
      </c>
      <c r="KE337" s="1" t="s">
        <v>1</v>
      </c>
      <c r="KF337" t="s">
        <v>1</v>
      </c>
      <c r="KG337" t="s">
        <v>1</v>
      </c>
      <c r="KH337" t="s">
        <v>1</v>
      </c>
      <c r="KI337" t="s">
        <v>1</v>
      </c>
      <c r="KJ337" t="s">
        <v>1</v>
      </c>
      <c r="KK337" t="s">
        <v>1</v>
      </c>
    </row>
    <row r="338" spans="1:297" x14ac:dyDescent="0.2">
      <c r="A338">
        <v>306</v>
      </c>
      <c r="B338" t="s">
        <v>705</v>
      </c>
      <c r="C338" t="s">
        <v>382</v>
      </c>
      <c r="D338" t="s">
        <v>381</v>
      </c>
      <c r="E338">
        <v>55</v>
      </c>
      <c r="F338" t="s">
        <v>1333</v>
      </c>
      <c r="G338" t="s">
        <v>1</v>
      </c>
      <c r="H338" s="26" t="s">
        <v>1420</v>
      </c>
      <c r="I338" t="s">
        <v>1</v>
      </c>
      <c r="J338" t="s">
        <v>1</v>
      </c>
      <c r="K338" t="s">
        <v>1</v>
      </c>
      <c r="L338" t="s">
        <v>1</v>
      </c>
      <c r="M338" t="s">
        <v>1</v>
      </c>
      <c r="N338" t="s">
        <v>1</v>
      </c>
      <c r="O338" t="s">
        <v>1</v>
      </c>
      <c r="P338" t="s">
        <v>1</v>
      </c>
      <c r="Q338" t="s">
        <v>1</v>
      </c>
      <c r="R338" t="s">
        <v>1</v>
      </c>
      <c r="S338" t="s">
        <v>1</v>
      </c>
      <c r="T338" t="s">
        <v>1</v>
      </c>
      <c r="U338" t="s">
        <v>1</v>
      </c>
      <c r="V338" t="s">
        <v>1</v>
      </c>
      <c r="W338" t="s">
        <v>1</v>
      </c>
      <c r="X338" t="s">
        <v>1</v>
      </c>
      <c r="Y338" t="s">
        <v>1</v>
      </c>
      <c r="Z338" t="s">
        <v>1</v>
      </c>
      <c r="AA338" t="s">
        <v>1</v>
      </c>
      <c r="AB338" t="s">
        <v>1</v>
      </c>
      <c r="AC338" t="s">
        <v>1</v>
      </c>
      <c r="AD338" t="s">
        <v>1</v>
      </c>
      <c r="AE338" t="s">
        <v>1</v>
      </c>
      <c r="AF338" t="s">
        <v>1</v>
      </c>
      <c r="AG338" t="s">
        <v>1</v>
      </c>
      <c r="AH338" t="s">
        <v>1</v>
      </c>
      <c r="AI338" t="s">
        <v>1</v>
      </c>
      <c r="AJ338" t="s">
        <v>1</v>
      </c>
      <c r="AK338" t="s">
        <v>1</v>
      </c>
      <c r="AL338" t="s">
        <v>1</v>
      </c>
      <c r="AM338" t="s">
        <v>1</v>
      </c>
      <c r="AN338">
        <v>306</v>
      </c>
      <c r="AO338">
        <f t="shared" si="45"/>
        <v>306</v>
      </c>
      <c r="AP338">
        <f t="shared" si="47"/>
        <v>55</v>
      </c>
      <c r="AQ338">
        <f t="shared" si="48"/>
        <v>55</v>
      </c>
      <c r="AR338" s="26" t="s">
        <v>1355</v>
      </c>
      <c r="AS338" s="26" t="s">
        <v>1356</v>
      </c>
      <c r="AT338" t="s">
        <v>713</v>
      </c>
      <c r="AU338" t="s">
        <v>1</v>
      </c>
      <c r="AV338" t="s">
        <v>1</v>
      </c>
      <c r="AW338">
        <v>42.2</v>
      </c>
      <c r="AX338">
        <v>-93.6</v>
      </c>
      <c r="AY338" t="s">
        <v>737</v>
      </c>
      <c r="BA338" s="3">
        <v>4</v>
      </c>
      <c r="BB338" s="3"/>
      <c r="BC338" s="3"/>
      <c r="BD338" s="3"/>
      <c r="BE338" s="3"/>
      <c r="BF338">
        <v>2004</v>
      </c>
      <c r="BG338" s="24" t="s">
        <v>733</v>
      </c>
      <c r="BH338" s="24" t="s">
        <v>733</v>
      </c>
      <c r="BI338" s="24" t="s">
        <v>733</v>
      </c>
      <c r="BJ338" s="24" t="s">
        <v>732</v>
      </c>
      <c r="BK338" s="24" t="s">
        <v>733</v>
      </c>
      <c r="BL338" s="25" t="s">
        <v>733</v>
      </c>
      <c r="BM338" s="24" t="s">
        <v>733</v>
      </c>
      <c r="BN338" s="24" t="s">
        <v>732</v>
      </c>
      <c r="BO338" s="24" t="s">
        <v>733</v>
      </c>
      <c r="BP338" s="24" t="s">
        <v>733</v>
      </c>
      <c r="BQ338" s="24" t="s">
        <v>945</v>
      </c>
      <c r="BR338" s="24" t="s">
        <v>945</v>
      </c>
      <c r="BS338" s="25" t="s">
        <v>934</v>
      </c>
      <c r="BT338" s="24" t="s">
        <v>934</v>
      </c>
      <c r="BU338" s="24" t="s">
        <v>934</v>
      </c>
      <c r="BV338" s="24" t="s">
        <v>934</v>
      </c>
      <c r="BW338" s="24" t="s">
        <v>934</v>
      </c>
      <c r="BX338" s="24" t="s">
        <v>934</v>
      </c>
      <c r="BY338" s="25" t="s">
        <v>945</v>
      </c>
      <c r="BZ338" t="s">
        <v>5</v>
      </c>
      <c r="CB338" t="s">
        <v>1</v>
      </c>
      <c r="CC338" s="4">
        <f>AVERAGE(12.46,13.47)*1000*0.87</f>
        <v>11279.55</v>
      </c>
      <c r="CD338" s="4"/>
      <c r="CE338" s="4"/>
      <c r="CF338" t="s">
        <v>793</v>
      </c>
      <c r="CG338">
        <v>100</v>
      </c>
      <c r="CH338" t="s">
        <v>805</v>
      </c>
      <c r="CI338" s="1">
        <v>1.6</v>
      </c>
      <c r="CJ338" s="10" t="s">
        <v>1442</v>
      </c>
      <c r="CK338" s="9" t="s">
        <v>1</v>
      </c>
      <c r="CL338" s="4" t="s">
        <v>1</v>
      </c>
      <c r="CM338" t="s">
        <v>848</v>
      </c>
      <c r="CN338" s="4">
        <f>AVERAGE(159.6,160.6)</f>
        <v>160.1</v>
      </c>
      <c r="CO338" s="4" t="s">
        <v>1</v>
      </c>
      <c r="CP338" s="4" t="s">
        <v>1</v>
      </c>
      <c r="CQ338" s="4" t="s">
        <v>1</v>
      </c>
      <c r="CR338" s="4" t="s">
        <v>1</v>
      </c>
      <c r="CS338" s="4" t="s">
        <v>1</v>
      </c>
      <c r="CT338" s="4" t="s">
        <v>1</v>
      </c>
      <c r="CU338" s="4" t="s">
        <v>1</v>
      </c>
      <c r="CV338" t="s">
        <v>1</v>
      </c>
      <c r="CW338" t="s">
        <v>1</v>
      </c>
      <c r="CX338" t="s">
        <v>1</v>
      </c>
      <c r="CY338" t="s">
        <v>1</v>
      </c>
      <c r="CZ338" t="s">
        <v>1</v>
      </c>
      <c r="DA338" t="s">
        <v>734</v>
      </c>
      <c r="DB338">
        <v>21.5</v>
      </c>
      <c r="DC338">
        <v>0</v>
      </c>
      <c r="DD338">
        <v>30</v>
      </c>
      <c r="DE338" s="26" t="s">
        <v>1358</v>
      </c>
      <c r="DF338" t="s">
        <v>735</v>
      </c>
      <c r="DG338">
        <v>33</v>
      </c>
      <c r="DH338">
        <v>0</v>
      </c>
      <c r="DI338">
        <v>30</v>
      </c>
      <c r="DJ338" s="26" t="s">
        <v>1358</v>
      </c>
      <c r="DK338" t="s">
        <v>736</v>
      </c>
      <c r="DL338">
        <v>45.5</v>
      </c>
      <c r="DM338">
        <v>0</v>
      </c>
      <c r="DN338">
        <v>30</v>
      </c>
      <c r="DO338" s="26" t="s">
        <v>1358</v>
      </c>
      <c r="DP338" t="s">
        <v>1</v>
      </c>
      <c r="DQ338" t="s">
        <v>1</v>
      </c>
      <c r="DR338" t="s">
        <v>1</v>
      </c>
      <c r="DS338" t="s">
        <v>1</v>
      </c>
      <c r="DT338" t="s">
        <v>1</v>
      </c>
      <c r="DU338" t="s">
        <v>1</v>
      </c>
      <c r="EA338" t="s">
        <v>982</v>
      </c>
      <c r="EB338">
        <v>28</v>
      </c>
      <c r="EC338">
        <v>0</v>
      </c>
      <c r="ED338">
        <v>30</v>
      </c>
      <c r="EE338" s="26" t="s">
        <v>1358</v>
      </c>
      <c r="EF338" s="26"/>
      <c r="FZ338" t="s">
        <v>806</v>
      </c>
      <c r="GA338">
        <v>742</v>
      </c>
      <c r="GE338" s="26" t="s">
        <v>1358</v>
      </c>
      <c r="HA338" s="5" t="s">
        <v>1</v>
      </c>
      <c r="HB338" s="4" t="s">
        <v>1</v>
      </c>
      <c r="HC338" t="s">
        <v>1</v>
      </c>
      <c r="HD338" t="s">
        <v>1</v>
      </c>
      <c r="HE338" t="s">
        <v>1</v>
      </c>
      <c r="HF338" s="5" t="s">
        <v>1</v>
      </c>
      <c r="HG338" s="4" t="s">
        <v>1</v>
      </c>
      <c r="HH338" t="s">
        <v>1</v>
      </c>
      <c r="HI338" t="s">
        <v>1</v>
      </c>
      <c r="HJ338" t="s">
        <v>1</v>
      </c>
      <c r="HK338" t="s">
        <v>815</v>
      </c>
      <c r="HL338">
        <v>1.19</v>
      </c>
      <c r="HM338">
        <v>0</v>
      </c>
      <c r="HN338">
        <v>30</v>
      </c>
      <c r="HO338" t="s">
        <v>1453</v>
      </c>
      <c r="HP338" s="26" t="s">
        <v>1358</v>
      </c>
      <c r="HZ338" t="s">
        <v>971</v>
      </c>
      <c r="IA338">
        <v>199</v>
      </c>
      <c r="IB338" s="10" t="s">
        <v>1</v>
      </c>
      <c r="IC338" s="10"/>
      <c r="ID338" s="10"/>
      <c r="IE338" s="10" t="s">
        <v>1</v>
      </c>
      <c r="IF338" s="10" t="s">
        <v>1</v>
      </c>
      <c r="IG338" s="10"/>
      <c r="IH338" s="10"/>
      <c r="II338" s="10"/>
      <c r="IJ338" s="10"/>
      <c r="IK338" s="10"/>
      <c r="IL338" s="10"/>
      <c r="IM338" s="10"/>
      <c r="IN338" s="10"/>
      <c r="IO338" s="10"/>
      <c r="IP338" s="10"/>
      <c r="IQ338" s="10"/>
      <c r="IR338" s="10"/>
      <c r="IS338" t="s">
        <v>1</v>
      </c>
      <c r="IT338" t="s">
        <v>1</v>
      </c>
      <c r="IW338" t="s">
        <v>1</v>
      </c>
      <c r="IX338" t="s">
        <v>1</v>
      </c>
      <c r="IY338" t="s">
        <v>1</v>
      </c>
      <c r="IZ338" t="s">
        <v>1</v>
      </c>
      <c r="JA338" t="s">
        <v>1</v>
      </c>
      <c r="JB338" s="3" t="s">
        <v>1</v>
      </c>
      <c r="JC338" t="s">
        <v>1</v>
      </c>
      <c r="JD338" s="4" t="s">
        <v>1</v>
      </c>
      <c r="JE338" t="s">
        <v>810</v>
      </c>
      <c r="JF338">
        <v>100</v>
      </c>
      <c r="JR338" t="s">
        <v>1066</v>
      </c>
      <c r="JS338">
        <v>112.7</v>
      </c>
      <c r="JU338" t="s">
        <v>1</v>
      </c>
      <c r="JW338" t="s">
        <v>1</v>
      </c>
      <c r="JX338">
        <v>0</v>
      </c>
      <c r="JY338">
        <v>122</v>
      </c>
      <c r="JZ338" t="s">
        <v>797</v>
      </c>
      <c r="KA338" t="s">
        <v>147</v>
      </c>
      <c r="KB338" t="s">
        <v>738</v>
      </c>
      <c r="KC338" t="s">
        <v>1</v>
      </c>
      <c r="KD338" t="s">
        <v>1</v>
      </c>
      <c r="KE338" s="1" t="s">
        <v>1</v>
      </c>
      <c r="KF338" t="s">
        <v>1</v>
      </c>
      <c r="KG338" t="s">
        <v>1</v>
      </c>
      <c r="KH338" t="s">
        <v>1</v>
      </c>
      <c r="KI338" t="s">
        <v>1</v>
      </c>
      <c r="KJ338" t="s">
        <v>1</v>
      </c>
      <c r="KK338" t="s">
        <v>1</v>
      </c>
    </row>
    <row r="339" spans="1:297" x14ac:dyDescent="0.2">
      <c r="A339">
        <v>307</v>
      </c>
      <c r="B339" t="s">
        <v>705</v>
      </c>
      <c r="C339" t="s">
        <v>383</v>
      </c>
      <c r="D339" t="s">
        <v>381</v>
      </c>
      <c r="E339">
        <v>55</v>
      </c>
      <c r="F339" t="s">
        <v>1333</v>
      </c>
      <c r="G339" t="s">
        <v>1</v>
      </c>
      <c r="H339" s="26" t="s">
        <v>1420</v>
      </c>
      <c r="I339" t="s">
        <v>1</v>
      </c>
      <c r="J339" t="s">
        <v>1</v>
      </c>
      <c r="K339" t="s">
        <v>1</v>
      </c>
      <c r="L339" t="s">
        <v>1</v>
      </c>
      <c r="M339" t="s">
        <v>1</v>
      </c>
      <c r="N339" t="s">
        <v>1</v>
      </c>
      <c r="O339" t="s">
        <v>1</v>
      </c>
      <c r="P339" t="s">
        <v>1</v>
      </c>
      <c r="Q339" t="s">
        <v>1</v>
      </c>
      <c r="R339" t="s">
        <v>1</v>
      </c>
      <c r="S339" t="s">
        <v>1</v>
      </c>
      <c r="T339" t="s">
        <v>1</v>
      </c>
      <c r="U339" t="s">
        <v>1</v>
      </c>
      <c r="V339" t="s">
        <v>1</v>
      </c>
      <c r="W339" t="s">
        <v>1</v>
      </c>
      <c r="X339" t="s">
        <v>1</v>
      </c>
      <c r="Y339" t="s">
        <v>1</v>
      </c>
      <c r="Z339" t="s">
        <v>1</v>
      </c>
      <c r="AA339" t="s">
        <v>1</v>
      </c>
      <c r="AB339" t="s">
        <v>1</v>
      </c>
      <c r="AC339" t="s">
        <v>1</v>
      </c>
      <c r="AD339" t="s">
        <v>1</v>
      </c>
      <c r="AE339" t="s">
        <v>1</v>
      </c>
      <c r="AF339" t="s">
        <v>1</v>
      </c>
      <c r="AG339" t="s">
        <v>1</v>
      </c>
      <c r="AH339" t="s">
        <v>1</v>
      </c>
      <c r="AI339" t="s">
        <v>1</v>
      </c>
      <c r="AJ339" t="s">
        <v>1</v>
      </c>
      <c r="AK339" t="s">
        <v>1</v>
      </c>
      <c r="AL339" t="s">
        <v>1</v>
      </c>
      <c r="AM339" t="s">
        <v>1</v>
      </c>
      <c r="AN339">
        <v>307</v>
      </c>
      <c r="AO339">
        <f t="shared" si="45"/>
        <v>307</v>
      </c>
      <c r="AP339">
        <f t="shared" si="47"/>
        <v>55</v>
      </c>
      <c r="AQ339">
        <f t="shared" si="48"/>
        <v>55</v>
      </c>
      <c r="AR339" s="26" t="s">
        <v>1355</v>
      </c>
      <c r="AS339" s="26" t="s">
        <v>1356</v>
      </c>
      <c r="AT339" t="s">
        <v>713</v>
      </c>
      <c r="AU339" t="s">
        <v>1</v>
      </c>
      <c r="AV339" t="s">
        <v>1</v>
      </c>
      <c r="AW339">
        <v>42.2</v>
      </c>
      <c r="AX339">
        <v>-93.6</v>
      </c>
      <c r="AY339" t="s">
        <v>737</v>
      </c>
      <c r="BA339" s="3">
        <v>4</v>
      </c>
      <c r="BB339" s="3"/>
      <c r="BC339" s="3"/>
      <c r="BD339" s="3"/>
      <c r="BE339" s="3"/>
      <c r="BF339">
        <v>2004</v>
      </c>
      <c r="BG339" s="24" t="s">
        <v>733</v>
      </c>
      <c r="BH339" s="24" t="s">
        <v>733</v>
      </c>
      <c r="BI339" s="24" t="s">
        <v>733</v>
      </c>
      <c r="BJ339" s="24" t="s">
        <v>732</v>
      </c>
      <c r="BK339" s="24" t="s">
        <v>733</v>
      </c>
      <c r="BL339" s="25" t="s">
        <v>733</v>
      </c>
      <c r="BM339" s="24" t="s">
        <v>733</v>
      </c>
      <c r="BN339" s="24" t="s">
        <v>732</v>
      </c>
      <c r="BO339" s="24" t="s">
        <v>733</v>
      </c>
      <c r="BP339" s="24" t="s">
        <v>733</v>
      </c>
      <c r="BQ339" s="24" t="s">
        <v>945</v>
      </c>
      <c r="BR339" s="24" t="s">
        <v>945</v>
      </c>
      <c r="BS339" s="25" t="s">
        <v>934</v>
      </c>
      <c r="BT339" s="24" t="s">
        <v>934</v>
      </c>
      <c r="BU339" s="24" t="s">
        <v>934</v>
      </c>
      <c r="BV339" s="24" t="s">
        <v>934</v>
      </c>
      <c r="BW339" s="24" t="s">
        <v>934</v>
      </c>
      <c r="BX339" s="24" t="s">
        <v>934</v>
      </c>
      <c r="BY339" s="25" t="s">
        <v>945</v>
      </c>
      <c r="BZ339" t="s">
        <v>5</v>
      </c>
      <c r="CB339" t="s">
        <v>1</v>
      </c>
      <c r="CC339" s="4">
        <f>AVERAGE(12.42,12.57)*1000*0.87</f>
        <v>10870.650000000001</v>
      </c>
      <c r="CD339" s="4"/>
      <c r="CE339" s="4"/>
      <c r="CF339" t="s">
        <v>793</v>
      </c>
      <c r="CG339">
        <v>100</v>
      </c>
      <c r="CH339" t="s">
        <v>805</v>
      </c>
      <c r="CI339" s="1">
        <v>1.6</v>
      </c>
      <c r="CJ339" s="10" t="s">
        <v>1442</v>
      </c>
      <c r="CK339" s="9" t="s">
        <v>1</v>
      </c>
      <c r="CL339" s="4" t="s">
        <v>1</v>
      </c>
      <c r="CM339" t="s">
        <v>848</v>
      </c>
      <c r="CN339" s="4">
        <f>AVERAGE(154.1,123.8)</f>
        <v>138.94999999999999</v>
      </c>
      <c r="CO339" s="4" t="s">
        <v>1</v>
      </c>
      <c r="CP339" s="4" t="s">
        <v>1</v>
      </c>
      <c r="CQ339" s="4" t="s">
        <v>1</v>
      </c>
      <c r="CR339" s="4" t="s">
        <v>1</v>
      </c>
      <c r="CS339" s="4" t="s">
        <v>1</v>
      </c>
      <c r="CT339" s="4" t="s">
        <v>1</v>
      </c>
      <c r="CU339" s="4" t="s">
        <v>1</v>
      </c>
      <c r="CV339" t="s">
        <v>1</v>
      </c>
      <c r="CW339" t="s">
        <v>1</v>
      </c>
      <c r="CX339" t="s">
        <v>1</v>
      </c>
      <c r="CY339" t="s">
        <v>1</v>
      </c>
      <c r="CZ339" t="s">
        <v>1</v>
      </c>
      <c r="DA339" t="s">
        <v>734</v>
      </c>
      <c r="DB339">
        <v>21.5</v>
      </c>
      <c r="DC339">
        <v>0</v>
      </c>
      <c r="DD339">
        <v>30</v>
      </c>
      <c r="DE339" s="26" t="s">
        <v>1358</v>
      </c>
      <c r="DF339" t="s">
        <v>735</v>
      </c>
      <c r="DG339">
        <v>33</v>
      </c>
      <c r="DH339">
        <v>0</v>
      </c>
      <c r="DI339">
        <v>30</v>
      </c>
      <c r="DJ339" s="26" t="s">
        <v>1358</v>
      </c>
      <c r="DK339" t="s">
        <v>736</v>
      </c>
      <c r="DL339">
        <v>45.5</v>
      </c>
      <c r="DM339">
        <v>0</v>
      </c>
      <c r="DN339">
        <v>30</v>
      </c>
      <c r="DO339" s="26" t="s">
        <v>1358</v>
      </c>
      <c r="DP339" t="s">
        <v>1</v>
      </c>
      <c r="DQ339" t="s">
        <v>1</v>
      </c>
      <c r="DR339" t="s">
        <v>1</v>
      </c>
      <c r="DS339" t="s">
        <v>1</v>
      </c>
      <c r="DT339" t="s">
        <v>1</v>
      </c>
      <c r="DU339" t="s">
        <v>1</v>
      </c>
      <c r="EA339" t="s">
        <v>982</v>
      </c>
      <c r="EB339">
        <v>28</v>
      </c>
      <c r="EC339">
        <v>0</v>
      </c>
      <c r="ED339">
        <v>30</v>
      </c>
      <c r="EE339" s="26" t="s">
        <v>1358</v>
      </c>
      <c r="EF339" s="26"/>
      <c r="FZ339" t="s">
        <v>806</v>
      </c>
      <c r="GA339">
        <v>742</v>
      </c>
      <c r="GE339" s="26" t="s">
        <v>1358</v>
      </c>
      <c r="HA339" s="5" t="s">
        <v>1</v>
      </c>
      <c r="HB339" s="4" t="s">
        <v>1</v>
      </c>
      <c r="HC339" t="s">
        <v>1</v>
      </c>
      <c r="HD339" t="s">
        <v>1</v>
      </c>
      <c r="HE339" t="s">
        <v>1</v>
      </c>
      <c r="HF339" s="5" t="s">
        <v>1</v>
      </c>
      <c r="HG339" s="4" t="s">
        <v>1</v>
      </c>
      <c r="HH339" t="s">
        <v>1</v>
      </c>
      <c r="HI339" t="s">
        <v>1</v>
      </c>
      <c r="HJ339" t="s">
        <v>1</v>
      </c>
      <c r="HK339" t="s">
        <v>815</v>
      </c>
      <c r="HL339">
        <v>1.19</v>
      </c>
      <c r="HM339">
        <v>0</v>
      </c>
      <c r="HN339">
        <v>30</v>
      </c>
      <c r="HO339" t="s">
        <v>1453</v>
      </c>
      <c r="HP339" s="26" t="s">
        <v>1358</v>
      </c>
      <c r="HZ339" t="s">
        <v>971</v>
      </c>
      <c r="IA339">
        <v>138</v>
      </c>
      <c r="IB339" s="10" t="s">
        <v>1</v>
      </c>
      <c r="IC339" s="10"/>
      <c r="ID339" s="10"/>
      <c r="IE339" s="10" t="s">
        <v>1</v>
      </c>
      <c r="IF339" s="10" t="s">
        <v>1</v>
      </c>
      <c r="IG339" s="10"/>
      <c r="IH339" s="10"/>
      <c r="II339" s="10"/>
      <c r="IJ339" s="10"/>
      <c r="IK339" s="10"/>
      <c r="IL339" s="10"/>
      <c r="IM339" s="10"/>
      <c r="IN339" s="10"/>
      <c r="IO339" s="10"/>
      <c r="IP339" s="10"/>
      <c r="IQ339" s="10"/>
      <c r="IR339" s="10"/>
      <c r="IS339" t="s">
        <v>1</v>
      </c>
      <c r="IT339" t="s">
        <v>1</v>
      </c>
      <c r="IW339" t="s">
        <v>1</v>
      </c>
      <c r="IX339" t="s">
        <v>1</v>
      </c>
      <c r="IY339" t="s">
        <v>1</v>
      </c>
      <c r="IZ339" t="s">
        <v>1</v>
      </c>
      <c r="JA339" t="s">
        <v>1</v>
      </c>
      <c r="JB339" s="3" t="s">
        <v>1</v>
      </c>
      <c r="JC339" t="s">
        <v>1</v>
      </c>
      <c r="JD339" s="4" t="s">
        <v>1</v>
      </c>
      <c r="JE339" t="s">
        <v>810</v>
      </c>
      <c r="JF339">
        <v>100</v>
      </c>
      <c r="JR339" t="s">
        <v>1066</v>
      </c>
      <c r="JS339">
        <v>95.6</v>
      </c>
      <c r="JU339" t="s">
        <v>1</v>
      </c>
      <c r="JW339" t="s">
        <v>1</v>
      </c>
      <c r="JX339">
        <v>0</v>
      </c>
      <c r="JY339">
        <v>122</v>
      </c>
      <c r="JZ339" t="s">
        <v>797</v>
      </c>
      <c r="KA339" t="s">
        <v>147</v>
      </c>
      <c r="KB339" t="s">
        <v>738</v>
      </c>
      <c r="KC339" t="s">
        <v>1</v>
      </c>
      <c r="KD339" t="s">
        <v>1</v>
      </c>
      <c r="KE339" s="1" t="s">
        <v>1</v>
      </c>
      <c r="KF339" t="s">
        <v>1</v>
      </c>
      <c r="KG339" t="s">
        <v>1</v>
      </c>
      <c r="KH339" t="s">
        <v>1</v>
      </c>
      <c r="KI339" t="s">
        <v>1</v>
      </c>
      <c r="KJ339" t="s">
        <v>1</v>
      </c>
      <c r="KK339" t="s">
        <v>1</v>
      </c>
    </row>
    <row r="340" spans="1:297" x14ac:dyDescent="0.2">
      <c r="A340">
        <v>308</v>
      </c>
      <c r="B340" t="s">
        <v>705</v>
      </c>
      <c r="C340" t="s">
        <v>384</v>
      </c>
      <c r="D340" t="s">
        <v>381</v>
      </c>
      <c r="E340">
        <v>55</v>
      </c>
      <c r="F340" t="s">
        <v>1333</v>
      </c>
      <c r="G340" t="s">
        <v>1</v>
      </c>
      <c r="H340" s="26" t="s">
        <v>1420</v>
      </c>
      <c r="I340" t="s">
        <v>1</v>
      </c>
      <c r="J340" t="s">
        <v>1</v>
      </c>
      <c r="K340" t="s">
        <v>1</v>
      </c>
      <c r="L340" t="s">
        <v>1</v>
      </c>
      <c r="M340" t="s">
        <v>1</v>
      </c>
      <c r="N340" t="s">
        <v>1</v>
      </c>
      <c r="O340" t="s">
        <v>1</v>
      </c>
      <c r="P340" t="s">
        <v>1</v>
      </c>
      <c r="Q340" t="s">
        <v>1</v>
      </c>
      <c r="R340" t="s">
        <v>1</v>
      </c>
      <c r="S340" t="s">
        <v>1</v>
      </c>
      <c r="T340" t="s">
        <v>1</v>
      </c>
      <c r="U340" t="s">
        <v>1</v>
      </c>
      <c r="V340" t="s">
        <v>1</v>
      </c>
      <c r="W340" t="s">
        <v>1</v>
      </c>
      <c r="X340" t="s">
        <v>1</v>
      </c>
      <c r="Y340" t="s">
        <v>1</v>
      </c>
      <c r="Z340" t="s">
        <v>1</v>
      </c>
      <c r="AA340" t="s">
        <v>1</v>
      </c>
      <c r="AB340" t="s">
        <v>1</v>
      </c>
      <c r="AC340" t="s">
        <v>1</v>
      </c>
      <c r="AD340" t="s">
        <v>1</v>
      </c>
      <c r="AE340" t="s">
        <v>1</v>
      </c>
      <c r="AF340" t="s">
        <v>1</v>
      </c>
      <c r="AG340" t="s">
        <v>1</v>
      </c>
      <c r="AH340" t="s">
        <v>1</v>
      </c>
      <c r="AI340" t="s">
        <v>1</v>
      </c>
      <c r="AJ340" t="s">
        <v>1</v>
      </c>
      <c r="AK340" t="s">
        <v>1</v>
      </c>
      <c r="AL340" t="s">
        <v>1</v>
      </c>
      <c r="AM340" t="s">
        <v>1</v>
      </c>
      <c r="AN340">
        <v>308</v>
      </c>
      <c r="AO340">
        <f t="shared" si="45"/>
        <v>308</v>
      </c>
      <c r="AP340">
        <f t="shared" si="47"/>
        <v>55</v>
      </c>
      <c r="AQ340">
        <f t="shared" si="48"/>
        <v>55</v>
      </c>
      <c r="AR340" s="26" t="s">
        <v>1355</v>
      </c>
      <c r="AS340" s="26" t="s">
        <v>1356</v>
      </c>
      <c r="AT340" t="s">
        <v>713</v>
      </c>
      <c r="AU340" t="s">
        <v>1</v>
      </c>
      <c r="AV340" t="s">
        <v>1</v>
      </c>
      <c r="AW340">
        <v>42.2</v>
      </c>
      <c r="AX340">
        <v>-93.6</v>
      </c>
      <c r="AY340" t="s">
        <v>737</v>
      </c>
      <c r="BA340" s="3">
        <v>4</v>
      </c>
      <c r="BB340" s="3"/>
      <c r="BC340" s="3"/>
      <c r="BD340" s="3"/>
      <c r="BE340" s="3"/>
      <c r="BF340">
        <v>2004</v>
      </c>
      <c r="BG340" s="24" t="s">
        <v>733</v>
      </c>
      <c r="BH340" s="24" t="s">
        <v>733</v>
      </c>
      <c r="BI340" s="24" t="s">
        <v>733</v>
      </c>
      <c r="BJ340" s="24" t="s">
        <v>732</v>
      </c>
      <c r="BK340" s="24" t="s">
        <v>733</v>
      </c>
      <c r="BL340" s="25" t="s">
        <v>733</v>
      </c>
      <c r="BM340" s="24" t="s">
        <v>733</v>
      </c>
      <c r="BN340" s="24" t="s">
        <v>732</v>
      </c>
      <c r="BO340" s="24" t="s">
        <v>733</v>
      </c>
      <c r="BP340" s="24" t="s">
        <v>733</v>
      </c>
      <c r="BQ340" s="24" t="s">
        <v>945</v>
      </c>
      <c r="BR340" s="24" t="s">
        <v>945</v>
      </c>
      <c r="BS340" s="25" t="s">
        <v>934</v>
      </c>
      <c r="BT340" s="24" t="s">
        <v>934</v>
      </c>
      <c r="BU340" s="24" t="s">
        <v>934</v>
      </c>
      <c r="BV340" s="24" t="s">
        <v>934</v>
      </c>
      <c r="BW340" s="24" t="s">
        <v>934</v>
      </c>
      <c r="BX340" s="24" t="s">
        <v>934</v>
      </c>
      <c r="BY340" s="25" t="s">
        <v>945</v>
      </c>
      <c r="BZ340" t="s">
        <v>5</v>
      </c>
      <c r="CB340" t="s">
        <v>1</v>
      </c>
      <c r="CC340" s="4">
        <f>AVERAGE(10.7,8.48)*1000*0.87</f>
        <v>8343.2999999999993</v>
      </c>
      <c r="CD340" s="4"/>
      <c r="CE340" s="4"/>
      <c r="CF340" t="s">
        <v>793</v>
      </c>
      <c r="CG340">
        <v>100</v>
      </c>
      <c r="CH340" t="s">
        <v>805</v>
      </c>
      <c r="CI340" s="1">
        <v>1.6</v>
      </c>
      <c r="CJ340" s="10" t="s">
        <v>1442</v>
      </c>
      <c r="CK340" s="9" t="s">
        <v>1</v>
      </c>
      <c r="CL340" s="4" t="s">
        <v>1</v>
      </c>
      <c r="CM340" t="s">
        <v>848</v>
      </c>
      <c r="CN340" s="4">
        <f>AVERAGE(122.5,70.2)</f>
        <v>96.35</v>
      </c>
      <c r="CO340" s="4" t="s">
        <v>1</v>
      </c>
      <c r="CP340" s="4" t="s">
        <v>1</v>
      </c>
      <c r="CQ340" s="4" t="s">
        <v>1</v>
      </c>
      <c r="CR340" s="4" t="s">
        <v>1</v>
      </c>
      <c r="CS340" s="4" t="s">
        <v>1</v>
      </c>
      <c r="CT340" s="4" t="s">
        <v>1</v>
      </c>
      <c r="CU340" s="4" t="s">
        <v>1</v>
      </c>
      <c r="CV340" t="s">
        <v>1</v>
      </c>
      <c r="CW340" t="s">
        <v>1</v>
      </c>
      <c r="CX340" t="s">
        <v>1</v>
      </c>
      <c r="CY340" t="s">
        <v>1</v>
      </c>
      <c r="CZ340" t="s">
        <v>1</v>
      </c>
      <c r="DA340" t="s">
        <v>734</v>
      </c>
      <c r="DB340">
        <v>21.5</v>
      </c>
      <c r="DC340">
        <v>0</v>
      </c>
      <c r="DD340">
        <v>30</v>
      </c>
      <c r="DE340" s="26" t="s">
        <v>1358</v>
      </c>
      <c r="DF340" t="s">
        <v>735</v>
      </c>
      <c r="DG340">
        <v>33</v>
      </c>
      <c r="DH340">
        <v>0</v>
      </c>
      <c r="DI340">
        <v>30</v>
      </c>
      <c r="DJ340" s="26" t="s">
        <v>1358</v>
      </c>
      <c r="DK340" t="s">
        <v>736</v>
      </c>
      <c r="DL340">
        <v>45.5</v>
      </c>
      <c r="DM340">
        <v>0</v>
      </c>
      <c r="DN340">
        <v>30</v>
      </c>
      <c r="DO340" s="26" t="s">
        <v>1358</v>
      </c>
      <c r="DP340" t="s">
        <v>1</v>
      </c>
      <c r="DQ340" t="s">
        <v>1</v>
      </c>
      <c r="DR340" t="s">
        <v>1</v>
      </c>
      <c r="DS340" t="s">
        <v>1</v>
      </c>
      <c r="DT340" t="s">
        <v>1</v>
      </c>
      <c r="DU340" t="s">
        <v>1</v>
      </c>
      <c r="EA340" t="s">
        <v>982</v>
      </c>
      <c r="EB340">
        <v>28</v>
      </c>
      <c r="EC340">
        <v>0</v>
      </c>
      <c r="ED340">
        <v>30</v>
      </c>
      <c r="EE340" s="26" t="s">
        <v>1358</v>
      </c>
      <c r="EF340" s="26"/>
      <c r="FZ340" t="s">
        <v>806</v>
      </c>
      <c r="GA340">
        <v>742</v>
      </c>
      <c r="GE340" s="26" t="s">
        <v>1358</v>
      </c>
      <c r="HA340" s="5" t="s">
        <v>1</v>
      </c>
      <c r="HB340" s="4" t="s">
        <v>1</v>
      </c>
      <c r="HC340" t="s">
        <v>1</v>
      </c>
      <c r="HD340" t="s">
        <v>1</v>
      </c>
      <c r="HE340" t="s">
        <v>1</v>
      </c>
      <c r="HF340" s="5" t="s">
        <v>1</v>
      </c>
      <c r="HG340" s="4" t="s">
        <v>1</v>
      </c>
      <c r="HH340" t="s">
        <v>1</v>
      </c>
      <c r="HI340" t="s">
        <v>1</v>
      </c>
      <c r="HJ340" t="s">
        <v>1</v>
      </c>
      <c r="HK340" t="s">
        <v>815</v>
      </c>
      <c r="HL340">
        <v>1.19</v>
      </c>
      <c r="HM340">
        <v>0</v>
      </c>
      <c r="HN340">
        <v>30</v>
      </c>
      <c r="HO340" t="s">
        <v>1453</v>
      </c>
      <c r="HP340" s="26" t="s">
        <v>1358</v>
      </c>
      <c r="HZ340" t="s">
        <v>971</v>
      </c>
      <c r="IA340">
        <v>69</v>
      </c>
      <c r="IB340" s="10" t="s">
        <v>1</v>
      </c>
      <c r="IC340" s="10"/>
      <c r="ID340" s="10"/>
      <c r="IE340" s="10" t="s">
        <v>1</v>
      </c>
      <c r="IF340" s="10" t="s">
        <v>1</v>
      </c>
      <c r="IG340" s="10"/>
      <c r="IH340" s="10"/>
      <c r="II340" s="10"/>
      <c r="IJ340" s="10"/>
      <c r="IK340" s="10"/>
      <c r="IL340" s="10"/>
      <c r="IM340" s="10"/>
      <c r="IN340" s="10"/>
      <c r="IO340" s="10"/>
      <c r="IP340" s="10"/>
      <c r="IQ340" s="10"/>
      <c r="IR340" s="10"/>
      <c r="IS340" t="s">
        <v>1</v>
      </c>
      <c r="IT340" t="s">
        <v>1</v>
      </c>
      <c r="IW340" t="s">
        <v>1</v>
      </c>
      <c r="IX340" t="s">
        <v>1</v>
      </c>
      <c r="IY340" t="s">
        <v>1</v>
      </c>
      <c r="IZ340" t="s">
        <v>1</v>
      </c>
      <c r="JA340" t="s">
        <v>1</v>
      </c>
      <c r="JB340" s="3" t="s">
        <v>1</v>
      </c>
      <c r="JC340" t="s">
        <v>1</v>
      </c>
      <c r="JD340" s="4" t="s">
        <v>1</v>
      </c>
      <c r="JE340" t="s">
        <v>810</v>
      </c>
      <c r="JF340">
        <v>100</v>
      </c>
      <c r="JR340" t="s">
        <v>1066</v>
      </c>
      <c r="JS340">
        <v>78.3</v>
      </c>
      <c r="JU340" t="s">
        <v>1</v>
      </c>
      <c r="JW340" t="s">
        <v>1</v>
      </c>
      <c r="JX340">
        <v>0</v>
      </c>
      <c r="JY340">
        <v>122</v>
      </c>
      <c r="JZ340" t="s">
        <v>797</v>
      </c>
      <c r="KA340" t="s">
        <v>147</v>
      </c>
      <c r="KB340" t="s">
        <v>738</v>
      </c>
      <c r="KC340" t="s">
        <v>1</v>
      </c>
      <c r="KD340" t="s">
        <v>1</v>
      </c>
      <c r="KE340" s="1" t="s">
        <v>1</v>
      </c>
      <c r="KF340" t="s">
        <v>1</v>
      </c>
      <c r="KG340" t="s">
        <v>1</v>
      </c>
      <c r="KH340" t="s">
        <v>1</v>
      </c>
      <c r="KI340" t="s">
        <v>1</v>
      </c>
      <c r="KJ340" t="s">
        <v>1</v>
      </c>
      <c r="KK340" t="s">
        <v>1</v>
      </c>
    </row>
    <row r="341" spans="1:297" x14ac:dyDescent="0.2">
      <c r="A341">
        <v>309</v>
      </c>
      <c r="B341" t="s">
        <v>705</v>
      </c>
      <c r="C341" t="s">
        <v>385</v>
      </c>
      <c r="D341" t="s">
        <v>381</v>
      </c>
      <c r="E341">
        <v>55</v>
      </c>
      <c r="F341" t="s">
        <v>1333</v>
      </c>
      <c r="G341" t="s">
        <v>1</v>
      </c>
      <c r="H341" s="26" t="s">
        <v>1420</v>
      </c>
      <c r="I341" t="s">
        <v>1</v>
      </c>
      <c r="J341" t="s">
        <v>1</v>
      </c>
      <c r="K341" t="s">
        <v>1</v>
      </c>
      <c r="L341" t="s">
        <v>1</v>
      </c>
      <c r="M341" t="s">
        <v>1</v>
      </c>
      <c r="N341" t="s">
        <v>1</v>
      </c>
      <c r="O341" t="s">
        <v>1</v>
      </c>
      <c r="P341" t="s">
        <v>1</v>
      </c>
      <c r="Q341" t="s">
        <v>1</v>
      </c>
      <c r="R341" t="s">
        <v>1</v>
      </c>
      <c r="S341" t="s">
        <v>1</v>
      </c>
      <c r="T341" t="s">
        <v>1</v>
      </c>
      <c r="U341" t="s">
        <v>1</v>
      </c>
      <c r="V341" t="s">
        <v>1</v>
      </c>
      <c r="W341" t="s">
        <v>1</v>
      </c>
      <c r="X341" t="s">
        <v>1</v>
      </c>
      <c r="Y341" t="s">
        <v>1</v>
      </c>
      <c r="Z341" t="s">
        <v>1</v>
      </c>
      <c r="AA341" t="s">
        <v>1</v>
      </c>
      <c r="AB341" t="s">
        <v>1</v>
      </c>
      <c r="AC341" t="s">
        <v>1</v>
      </c>
      <c r="AD341" t="s">
        <v>1</v>
      </c>
      <c r="AE341" t="s">
        <v>1</v>
      </c>
      <c r="AF341" t="s">
        <v>1</v>
      </c>
      <c r="AG341" t="s">
        <v>1</v>
      </c>
      <c r="AH341" t="s">
        <v>1</v>
      </c>
      <c r="AI341" t="s">
        <v>1</v>
      </c>
      <c r="AJ341" t="s">
        <v>1</v>
      </c>
      <c r="AK341" t="s">
        <v>1</v>
      </c>
      <c r="AL341" t="s">
        <v>1</v>
      </c>
      <c r="AM341" t="s">
        <v>1</v>
      </c>
      <c r="AN341">
        <v>309</v>
      </c>
      <c r="AO341">
        <f t="shared" si="45"/>
        <v>309</v>
      </c>
      <c r="AP341">
        <f t="shared" si="47"/>
        <v>55</v>
      </c>
      <c r="AQ341">
        <f t="shared" si="48"/>
        <v>55</v>
      </c>
      <c r="AR341" s="26" t="s">
        <v>1355</v>
      </c>
      <c r="AS341" s="26" t="s">
        <v>1356</v>
      </c>
      <c r="AT341" t="s">
        <v>713</v>
      </c>
      <c r="AU341" t="s">
        <v>1</v>
      </c>
      <c r="AV341" t="s">
        <v>1</v>
      </c>
      <c r="AW341">
        <v>42.2</v>
      </c>
      <c r="AX341">
        <v>-93.6</v>
      </c>
      <c r="AY341" t="s">
        <v>737</v>
      </c>
      <c r="BA341" s="3">
        <v>4</v>
      </c>
      <c r="BB341" s="3"/>
      <c r="BC341" s="3"/>
      <c r="BD341" s="3"/>
      <c r="BE341" s="3"/>
      <c r="BF341">
        <v>2004</v>
      </c>
      <c r="BG341" s="24" t="s">
        <v>733</v>
      </c>
      <c r="BH341" s="24" t="s">
        <v>733</v>
      </c>
      <c r="BI341" s="24" t="s">
        <v>733</v>
      </c>
      <c r="BJ341" s="24" t="s">
        <v>732</v>
      </c>
      <c r="BK341" s="24" t="s">
        <v>733</v>
      </c>
      <c r="BL341" s="25" t="s">
        <v>733</v>
      </c>
      <c r="BM341" s="24" t="s">
        <v>733</v>
      </c>
      <c r="BN341" s="24" t="s">
        <v>732</v>
      </c>
      <c r="BO341" s="24" t="s">
        <v>733</v>
      </c>
      <c r="BP341" s="24" t="s">
        <v>733</v>
      </c>
      <c r="BQ341" s="24" t="s">
        <v>945</v>
      </c>
      <c r="BR341" s="24" t="s">
        <v>945</v>
      </c>
      <c r="BS341" s="25" t="s">
        <v>934</v>
      </c>
      <c r="BT341" s="24" t="s">
        <v>934</v>
      </c>
      <c r="BU341" s="24" t="s">
        <v>934</v>
      </c>
      <c r="BV341" s="24" t="s">
        <v>934</v>
      </c>
      <c r="BW341" s="24" t="s">
        <v>934</v>
      </c>
      <c r="BX341" s="24" t="s">
        <v>934</v>
      </c>
      <c r="BY341" s="25" t="s">
        <v>945</v>
      </c>
      <c r="BZ341" t="s">
        <v>5</v>
      </c>
      <c r="CB341" t="s">
        <v>1</v>
      </c>
      <c r="CC341" s="4">
        <f>AVERAGE(11.62,10.96)*1000*0.87</f>
        <v>9822.2999999999993</v>
      </c>
      <c r="CD341" s="4"/>
      <c r="CE341" s="4"/>
      <c r="CF341" t="s">
        <v>793</v>
      </c>
      <c r="CG341">
        <v>100</v>
      </c>
      <c r="CH341" t="s">
        <v>805</v>
      </c>
      <c r="CI341" s="1">
        <v>1.6</v>
      </c>
      <c r="CJ341" s="10" t="s">
        <v>1442</v>
      </c>
      <c r="CK341" s="9" t="s">
        <v>1</v>
      </c>
      <c r="CL341" s="4" t="s">
        <v>1</v>
      </c>
      <c r="CM341" t="s">
        <v>848</v>
      </c>
      <c r="CN341" s="4">
        <f>AVERAGE(144.5,103.3)</f>
        <v>123.9</v>
      </c>
      <c r="CO341" s="4" t="s">
        <v>1</v>
      </c>
      <c r="CP341" s="4" t="s">
        <v>1</v>
      </c>
      <c r="CQ341" s="4" t="s">
        <v>1</v>
      </c>
      <c r="CR341" s="4" t="s">
        <v>1</v>
      </c>
      <c r="CS341" s="4" t="s">
        <v>1</v>
      </c>
      <c r="CT341" s="4" t="s">
        <v>1</v>
      </c>
      <c r="CU341" s="4" t="s">
        <v>1</v>
      </c>
      <c r="CV341" t="s">
        <v>1</v>
      </c>
      <c r="CW341" t="s">
        <v>1</v>
      </c>
      <c r="CX341" t="s">
        <v>1</v>
      </c>
      <c r="CY341" t="s">
        <v>1</v>
      </c>
      <c r="CZ341" t="s">
        <v>1</v>
      </c>
      <c r="DA341" t="s">
        <v>734</v>
      </c>
      <c r="DB341">
        <v>21.5</v>
      </c>
      <c r="DC341">
        <v>0</v>
      </c>
      <c r="DD341">
        <v>30</v>
      </c>
      <c r="DE341" s="26" t="s">
        <v>1358</v>
      </c>
      <c r="DF341" t="s">
        <v>735</v>
      </c>
      <c r="DG341">
        <v>33</v>
      </c>
      <c r="DH341">
        <v>0</v>
      </c>
      <c r="DI341">
        <v>30</v>
      </c>
      <c r="DJ341" s="26" t="s">
        <v>1358</v>
      </c>
      <c r="DK341" t="s">
        <v>736</v>
      </c>
      <c r="DL341">
        <v>45.5</v>
      </c>
      <c r="DM341">
        <v>0</v>
      </c>
      <c r="DN341">
        <v>30</v>
      </c>
      <c r="DO341" s="26" t="s">
        <v>1358</v>
      </c>
      <c r="DP341" t="s">
        <v>1</v>
      </c>
      <c r="DQ341" t="s">
        <v>1</v>
      </c>
      <c r="DR341" t="s">
        <v>1</v>
      </c>
      <c r="DS341" t="s">
        <v>1</v>
      </c>
      <c r="DT341" t="s">
        <v>1</v>
      </c>
      <c r="DU341" t="s">
        <v>1</v>
      </c>
      <c r="EA341" t="s">
        <v>982</v>
      </c>
      <c r="EB341">
        <v>28</v>
      </c>
      <c r="EC341">
        <v>0</v>
      </c>
      <c r="ED341">
        <v>30</v>
      </c>
      <c r="EE341" s="26" t="s">
        <v>1358</v>
      </c>
      <c r="EF341" s="26"/>
      <c r="FZ341" t="s">
        <v>806</v>
      </c>
      <c r="GA341">
        <v>742</v>
      </c>
      <c r="GE341" s="26" t="s">
        <v>1358</v>
      </c>
      <c r="HA341" s="5" t="s">
        <v>1</v>
      </c>
      <c r="HB341" s="4" t="s">
        <v>1</v>
      </c>
      <c r="HC341" t="s">
        <v>1</v>
      </c>
      <c r="HD341" t="s">
        <v>1</v>
      </c>
      <c r="HE341" t="s">
        <v>1</v>
      </c>
      <c r="HF341" s="5" t="s">
        <v>1</v>
      </c>
      <c r="HG341" s="4" t="s">
        <v>1</v>
      </c>
      <c r="HH341" t="s">
        <v>1</v>
      </c>
      <c r="HI341" t="s">
        <v>1</v>
      </c>
      <c r="HJ341" t="s">
        <v>1</v>
      </c>
      <c r="HK341" t="s">
        <v>815</v>
      </c>
      <c r="HL341">
        <v>1.19</v>
      </c>
      <c r="HM341">
        <v>0</v>
      </c>
      <c r="HN341">
        <v>30</v>
      </c>
      <c r="HO341" t="s">
        <v>1453</v>
      </c>
      <c r="HP341" s="26" t="s">
        <v>1358</v>
      </c>
      <c r="HZ341" t="s">
        <v>971</v>
      </c>
      <c r="IA341">
        <v>138</v>
      </c>
      <c r="IB341" s="10" t="s">
        <v>1</v>
      </c>
      <c r="IC341" s="10"/>
      <c r="ID341" s="10"/>
      <c r="IE341" s="10" t="s">
        <v>1</v>
      </c>
      <c r="IF341" s="10" t="s">
        <v>1</v>
      </c>
      <c r="IG341" s="10"/>
      <c r="IH341" s="10"/>
      <c r="II341" s="10"/>
      <c r="IJ341" s="10"/>
      <c r="IK341" s="10"/>
      <c r="IL341" s="10"/>
      <c r="IM341" s="10"/>
      <c r="IN341" s="10"/>
      <c r="IO341" s="10"/>
      <c r="IP341" s="10"/>
      <c r="IQ341" s="10"/>
      <c r="IR341" s="10"/>
      <c r="IS341" t="s">
        <v>1</v>
      </c>
      <c r="IT341" t="s">
        <v>1</v>
      </c>
      <c r="IW341" t="s">
        <v>1</v>
      </c>
      <c r="IX341" t="s">
        <v>1</v>
      </c>
      <c r="IY341" t="s">
        <v>1</v>
      </c>
      <c r="IZ341" t="s">
        <v>1</v>
      </c>
      <c r="JA341" t="s">
        <v>1</v>
      </c>
      <c r="JB341" s="3" t="s">
        <v>1</v>
      </c>
      <c r="JC341" t="s">
        <v>1</v>
      </c>
      <c r="JD341" s="4" t="s">
        <v>1</v>
      </c>
      <c r="JE341" t="s">
        <v>810</v>
      </c>
      <c r="JF341">
        <v>100</v>
      </c>
      <c r="JR341" t="s">
        <v>1066</v>
      </c>
      <c r="JS341">
        <v>117.9</v>
      </c>
      <c r="JU341" t="s">
        <v>1</v>
      </c>
      <c r="JW341" t="s">
        <v>1</v>
      </c>
      <c r="JX341">
        <v>0</v>
      </c>
      <c r="JY341">
        <v>122</v>
      </c>
      <c r="JZ341" t="s">
        <v>797</v>
      </c>
      <c r="KA341" t="s">
        <v>147</v>
      </c>
      <c r="KB341" t="s">
        <v>738</v>
      </c>
      <c r="KC341" t="s">
        <v>1</v>
      </c>
      <c r="KD341" t="s">
        <v>1</v>
      </c>
      <c r="KE341" s="1" t="s">
        <v>1</v>
      </c>
      <c r="KF341" t="s">
        <v>1</v>
      </c>
      <c r="KG341" t="s">
        <v>1</v>
      </c>
      <c r="KH341" t="s">
        <v>1</v>
      </c>
      <c r="KI341" t="s">
        <v>1</v>
      </c>
      <c r="KJ341" t="s">
        <v>1</v>
      </c>
      <c r="KK341" t="s">
        <v>1</v>
      </c>
    </row>
    <row r="342" spans="1:297" x14ac:dyDescent="0.2">
      <c r="A342">
        <v>310</v>
      </c>
      <c r="B342" t="s">
        <v>705</v>
      </c>
      <c r="C342" t="s">
        <v>388</v>
      </c>
      <c r="D342" t="s">
        <v>386</v>
      </c>
      <c r="E342">
        <v>56</v>
      </c>
      <c r="F342" t="s">
        <v>387</v>
      </c>
      <c r="G342" t="s">
        <v>1</v>
      </c>
      <c r="H342" s="26" t="s">
        <v>1420</v>
      </c>
      <c r="I342" t="s">
        <v>1</v>
      </c>
      <c r="J342" t="s">
        <v>1</v>
      </c>
      <c r="K342" t="s">
        <v>1</v>
      </c>
      <c r="L342" t="s">
        <v>1</v>
      </c>
      <c r="M342" t="s">
        <v>1</v>
      </c>
      <c r="N342" t="s">
        <v>1</v>
      </c>
      <c r="O342" t="s">
        <v>1</v>
      </c>
      <c r="P342" t="s">
        <v>1</v>
      </c>
      <c r="Q342" t="s">
        <v>1</v>
      </c>
      <c r="R342" t="s">
        <v>1</v>
      </c>
      <c r="S342" t="s">
        <v>1</v>
      </c>
      <c r="T342" t="s">
        <v>1</v>
      </c>
      <c r="U342" t="s">
        <v>1</v>
      </c>
      <c r="V342" t="s">
        <v>1</v>
      </c>
      <c r="W342" t="s">
        <v>1</v>
      </c>
      <c r="X342" t="s">
        <v>1</v>
      </c>
      <c r="Y342" t="s">
        <v>1</v>
      </c>
      <c r="Z342" t="s">
        <v>1</v>
      </c>
      <c r="AA342" t="s">
        <v>1</v>
      </c>
      <c r="AB342" t="s">
        <v>1</v>
      </c>
      <c r="AC342" t="s">
        <v>1</v>
      </c>
      <c r="AD342" t="s">
        <v>1</v>
      </c>
      <c r="AE342" t="s">
        <v>1</v>
      </c>
      <c r="AF342" t="s">
        <v>1</v>
      </c>
      <c r="AG342" t="s">
        <v>1</v>
      </c>
      <c r="AH342" t="s">
        <v>1</v>
      </c>
      <c r="AI342" t="s">
        <v>1</v>
      </c>
      <c r="AJ342" t="s">
        <v>1</v>
      </c>
      <c r="AK342" t="s">
        <v>1</v>
      </c>
      <c r="AL342" t="s">
        <v>1</v>
      </c>
      <c r="AM342" t="s">
        <v>1</v>
      </c>
      <c r="AN342">
        <v>310</v>
      </c>
      <c r="AO342">
        <f t="shared" si="45"/>
        <v>310</v>
      </c>
      <c r="AP342">
        <f t="shared" si="47"/>
        <v>56</v>
      </c>
      <c r="AQ342">
        <f t="shared" si="48"/>
        <v>56</v>
      </c>
      <c r="AR342" s="26" t="s">
        <v>1355</v>
      </c>
      <c r="AS342" s="26" t="s">
        <v>1356</v>
      </c>
      <c r="AT342" t="s">
        <v>712</v>
      </c>
      <c r="AU342" t="s">
        <v>1</v>
      </c>
      <c r="AV342" t="s">
        <v>1</v>
      </c>
      <c r="AW342">
        <v>42.22</v>
      </c>
      <c r="AX342">
        <v>-82.73</v>
      </c>
      <c r="AY342" t="s">
        <v>737</v>
      </c>
      <c r="BA342" s="3">
        <v>3</v>
      </c>
      <c r="BB342" s="3"/>
      <c r="BC342" s="3"/>
      <c r="BD342" s="3"/>
      <c r="BE342" s="3"/>
      <c r="BF342">
        <v>1998</v>
      </c>
      <c r="BG342" s="24" t="s">
        <v>733</v>
      </c>
      <c r="BH342" s="24" t="s">
        <v>733</v>
      </c>
      <c r="BI342" s="24" t="s">
        <v>733</v>
      </c>
      <c r="BJ342" s="24" t="s">
        <v>732</v>
      </c>
      <c r="BK342" s="24" t="s">
        <v>733</v>
      </c>
      <c r="BL342" s="25" t="s">
        <v>733</v>
      </c>
      <c r="BM342" s="24" t="s">
        <v>733</v>
      </c>
      <c r="BN342" s="24" t="s">
        <v>732</v>
      </c>
      <c r="BO342" s="24" t="s">
        <v>733</v>
      </c>
      <c r="BP342" s="24" t="s">
        <v>733</v>
      </c>
      <c r="BQ342" s="24" t="s">
        <v>945</v>
      </c>
      <c r="BR342" s="24" t="s">
        <v>945</v>
      </c>
      <c r="BS342" s="25" t="s">
        <v>934</v>
      </c>
      <c r="BT342" s="24" t="s">
        <v>934</v>
      </c>
      <c r="BU342" s="24" t="s">
        <v>934</v>
      </c>
      <c r="BV342" s="24" t="s">
        <v>934</v>
      </c>
      <c r="BW342" s="24" t="s">
        <v>934</v>
      </c>
      <c r="BX342" s="24" t="s">
        <v>934</v>
      </c>
      <c r="BY342" s="25" t="s">
        <v>945</v>
      </c>
      <c r="BZ342" t="s">
        <v>5</v>
      </c>
      <c r="CB342" t="s">
        <v>1</v>
      </c>
      <c r="CC342" s="4">
        <f>AVERAGE(7.65,9.41)*1000*0.87</f>
        <v>7421.1000000000013</v>
      </c>
      <c r="CD342" s="4"/>
      <c r="CE342" s="4"/>
      <c r="CF342" t="s">
        <v>793</v>
      </c>
      <c r="CG342">
        <v>100</v>
      </c>
      <c r="CH342" t="s">
        <v>805</v>
      </c>
      <c r="CI342" s="1">
        <v>1.6</v>
      </c>
      <c r="CJ342" s="10" t="s">
        <v>1442</v>
      </c>
      <c r="CK342" s="9" t="s">
        <v>1</v>
      </c>
      <c r="CL342" s="4" t="s">
        <v>1</v>
      </c>
      <c r="CM342" s="4" t="s">
        <v>1</v>
      </c>
      <c r="CN342" s="4" t="s">
        <v>1</v>
      </c>
      <c r="CO342" s="4" t="s">
        <v>1</v>
      </c>
      <c r="CP342" s="4" t="s">
        <v>1</v>
      </c>
      <c r="CQ342" s="4" t="s">
        <v>1</v>
      </c>
      <c r="CR342" s="4" t="s">
        <v>1</v>
      </c>
      <c r="CS342" s="4" t="s">
        <v>1</v>
      </c>
      <c r="CT342" s="4" t="s">
        <v>1</v>
      </c>
      <c r="CU342" s="4" t="s">
        <v>1</v>
      </c>
      <c r="CV342" t="s">
        <v>850</v>
      </c>
      <c r="CW342">
        <v>100</v>
      </c>
      <c r="CX342">
        <v>0</v>
      </c>
      <c r="CY342">
        <v>30</v>
      </c>
      <c r="CZ342" s="26" t="s">
        <v>1358</v>
      </c>
      <c r="DA342" t="s">
        <v>734</v>
      </c>
      <c r="DB342">
        <v>30.2</v>
      </c>
      <c r="DC342">
        <v>0</v>
      </c>
      <c r="DD342">
        <v>30</v>
      </c>
      <c r="DE342" s="26" t="s">
        <v>1358</v>
      </c>
      <c r="DF342" t="s">
        <v>735</v>
      </c>
      <c r="DG342">
        <v>38.799999999999997</v>
      </c>
      <c r="DH342">
        <v>0</v>
      </c>
      <c r="DI342">
        <v>30</v>
      </c>
      <c r="DJ342" s="26" t="s">
        <v>1358</v>
      </c>
      <c r="DK342" t="s">
        <v>736</v>
      </c>
      <c r="DL342">
        <v>31</v>
      </c>
      <c r="DM342">
        <v>0</v>
      </c>
      <c r="DN342">
        <v>30</v>
      </c>
      <c r="DO342" s="26" t="s">
        <v>1358</v>
      </c>
      <c r="DP342" t="s">
        <v>1</v>
      </c>
      <c r="DQ342" t="s">
        <v>1</v>
      </c>
      <c r="DR342" t="s">
        <v>1</v>
      </c>
      <c r="DS342" t="s">
        <v>1</v>
      </c>
      <c r="DT342" t="s">
        <v>1</v>
      </c>
      <c r="DU342" t="s">
        <v>1</v>
      </c>
      <c r="EA342" t="s">
        <v>1</v>
      </c>
      <c r="EB342" t="s">
        <v>1</v>
      </c>
      <c r="EC342" t="s">
        <v>1</v>
      </c>
      <c r="ED342" t="s">
        <v>1</v>
      </c>
      <c r="EE342" t="s">
        <v>1</v>
      </c>
      <c r="FZ342" t="s">
        <v>806</v>
      </c>
      <c r="GA342">
        <v>676.5</v>
      </c>
      <c r="GE342" s="26" t="s">
        <v>1358</v>
      </c>
      <c r="HA342" s="5" t="s">
        <v>1</v>
      </c>
      <c r="HB342" s="4" t="s">
        <v>1</v>
      </c>
      <c r="HC342" t="s">
        <v>1</v>
      </c>
      <c r="HD342" t="s">
        <v>1</v>
      </c>
      <c r="HE342" t="s">
        <v>1</v>
      </c>
      <c r="HF342" s="5" t="s">
        <v>1</v>
      </c>
      <c r="HG342" s="4" t="s">
        <v>1</v>
      </c>
      <c r="HH342" t="s">
        <v>1</v>
      </c>
      <c r="HI342" t="s">
        <v>1</v>
      </c>
      <c r="HJ342" t="s">
        <v>1</v>
      </c>
      <c r="HK342" t="s">
        <v>1</v>
      </c>
      <c r="HL342" t="s">
        <v>1</v>
      </c>
      <c r="HM342" t="s">
        <v>1</v>
      </c>
      <c r="HN342" t="s">
        <v>1</v>
      </c>
      <c r="HO342" t="s">
        <v>1</v>
      </c>
      <c r="HP342" t="s">
        <v>1</v>
      </c>
      <c r="HZ342" t="s">
        <v>1295</v>
      </c>
      <c r="IA342">
        <v>150</v>
      </c>
      <c r="IB342" s="10" t="s">
        <v>822</v>
      </c>
      <c r="IC342" s="10"/>
      <c r="ID342" s="10"/>
      <c r="IE342" s="10" t="s">
        <v>1</v>
      </c>
      <c r="IF342" s="10" t="s">
        <v>1</v>
      </c>
      <c r="IG342" s="10"/>
      <c r="IH342" s="10"/>
      <c r="II342" s="10"/>
      <c r="IJ342" s="10"/>
      <c r="IK342" s="10"/>
      <c r="IL342" s="10"/>
      <c r="IM342" s="10"/>
      <c r="IN342" s="10"/>
      <c r="IO342" s="10"/>
      <c r="IP342" s="10"/>
      <c r="IQ342" s="10"/>
      <c r="IR342" s="10"/>
      <c r="IS342" t="s">
        <v>1</v>
      </c>
      <c r="IT342" t="s">
        <v>1</v>
      </c>
      <c r="IW342" t="s">
        <v>1</v>
      </c>
      <c r="IX342" t="s">
        <v>1</v>
      </c>
      <c r="IY342" t="s">
        <v>1</v>
      </c>
      <c r="IZ342" t="s">
        <v>1</v>
      </c>
      <c r="JA342" t="s">
        <v>1</v>
      </c>
      <c r="JB342" s="3" t="s">
        <v>1</v>
      </c>
      <c r="JC342" t="s">
        <v>1</v>
      </c>
      <c r="JD342" s="4" t="s">
        <v>1</v>
      </c>
      <c r="JE342" t="s">
        <v>811</v>
      </c>
      <c r="JF342">
        <v>100</v>
      </c>
      <c r="JR342" t="s">
        <v>1066</v>
      </c>
      <c r="JS342">
        <v>81.5</v>
      </c>
      <c r="JU342" t="s">
        <v>1</v>
      </c>
      <c r="JW342" t="s">
        <v>1</v>
      </c>
      <c r="JX342">
        <v>0</v>
      </c>
      <c r="JY342">
        <v>60</v>
      </c>
      <c r="JZ342" t="s">
        <v>797</v>
      </c>
      <c r="KA342" t="s">
        <v>147</v>
      </c>
      <c r="KB342" t="s">
        <v>738</v>
      </c>
      <c r="KC342" t="s">
        <v>1</v>
      </c>
      <c r="KD342" t="s">
        <v>1</v>
      </c>
      <c r="KE342" s="1" t="s">
        <v>1</v>
      </c>
      <c r="KF342" t="s">
        <v>1</v>
      </c>
      <c r="KG342" t="s">
        <v>1</v>
      </c>
      <c r="KH342" t="s">
        <v>1</v>
      </c>
      <c r="KI342" t="s">
        <v>1</v>
      </c>
      <c r="KJ342" t="s">
        <v>1</v>
      </c>
      <c r="KK342" t="s">
        <v>1</v>
      </c>
    </row>
    <row r="343" spans="1:297" x14ac:dyDescent="0.2">
      <c r="A343">
        <v>311</v>
      </c>
      <c r="B343" t="s">
        <v>705</v>
      </c>
      <c r="C343" t="s">
        <v>389</v>
      </c>
      <c r="D343" t="s">
        <v>386</v>
      </c>
      <c r="E343">
        <v>56</v>
      </c>
      <c r="F343" t="s">
        <v>387</v>
      </c>
      <c r="G343" t="s">
        <v>1</v>
      </c>
      <c r="H343" s="26" t="s">
        <v>1420</v>
      </c>
      <c r="I343" t="s">
        <v>1</v>
      </c>
      <c r="J343" t="s">
        <v>1</v>
      </c>
      <c r="K343" t="s">
        <v>1</v>
      </c>
      <c r="L343" t="s">
        <v>1</v>
      </c>
      <c r="M343" t="s">
        <v>1</v>
      </c>
      <c r="N343" t="s">
        <v>1</v>
      </c>
      <c r="O343" t="s">
        <v>1</v>
      </c>
      <c r="P343" t="s">
        <v>1</v>
      </c>
      <c r="Q343" t="s">
        <v>1</v>
      </c>
      <c r="R343" t="s">
        <v>1</v>
      </c>
      <c r="S343" t="s">
        <v>1</v>
      </c>
      <c r="T343" t="s">
        <v>1</v>
      </c>
      <c r="U343" t="s">
        <v>1</v>
      </c>
      <c r="V343" t="s">
        <v>1</v>
      </c>
      <c r="W343" t="s">
        <v>1</v>
      </c>
      <c r="X343" t="s">
        <v>1</v>
      </c>
      <c r="Y343" t="s">
        <v>1</v>
      </c>
      <c r="Z343" t="s">
        <v>1</v>
      </c>
      <c r="AA343" t="s">
        <v>1</v>
      </c>
      <c r="AB343" t="s">
        <v>1</v>
      </c>
      <c r="AC343" t="s">
        <v>1</v>
      </c>
      <c r="AD343" t="s">
        <v>1</v>
      </c>
      <c r="AE343" t="s">
        <v>1</v>
      </c>
      <c r="AF343" t="s">
        <v>1</v>
      </c>
      <c r="AG343" t="s">
        <v>1</v>
      </c>
      <c r="AH343" t="s">
        <v>1</v>
      </c>
      <c r="AI343" t="s">
        <v>1</v>
      </c>
      <c r="AJ343" t="s">
        <v>1</v>
      </c>
      <c r="AK343" t="s">
        <v>1</v>
      </c>
      <c r="AL343" t="s">
        <v>1</v>
      </c>
      <c r="AM343" t="s">
        <v>1</v>
      </c>
      <c r="AN343">
        <v>311</v>
      </c>
      <c r="AO343">
        <f t="shared" si="45"/>
        <v>311</v>
      </c>
      <c r="AP343">
        <f t="shared" si="47"/>
        <v>56</v>
      </c>
      <c r="AQ343">
        <f t="shared" si="48"/>
        <v>56</v>
      </c>
      <c r="AR343" s="26" t="s">
        <v>1355</v>
      </c>
      <c r="AS343" s="26" t="s">
        <v>1356</v>
      </c>
      <c r="AT343" t="s">
        <v>712</v>
      </c>
      <c r="AU343" t="s">
        <v>1</v>
      </c>
      <c r="AV343" t="s">
        <v>1</v>
      </c>
      <c r="AW343">
        <v>42.22</v>
      </c>
      <c r="AX343">
        <v>-82.73</v>
      </c>
      <c r="AY343" t="s">
        <v>737</v>
      </c>
      <c r="BA343" s="3">
        <v>3</v>
      </c>
      <c r="BB343" s="3"/>
      <c r="BC343" s="3"/>
      <c r="BD343" s="3"/>
      <c r="BE343" s="3"/>
      <c r="BF343">
        <v>1998</v>
      </c>
      <c r="BG343" s="24" t="s">
        <v>733</v>
      </c>
      <c r="BH343" s="24" t="s">
        <v>733</v>
      </c>
      <c r="BI343" s="24" t="s">
        <v>733</v>
      </c>
      <c r="BJ343" s="24" t="s">
        <v>732</v>
      </c>
      <c r="BK343" s="24" t="s">
        <v>733</v>
      </c>
      <c r="BL343" s="25" t="s">
        <v>733</v>
      </c>
      <c r="BM343" s="24" t="s">
        <v>733</v>
      </c>
      <c r="BN343" s="24" t="s">
        <v>732</v>
      </c>
      <c r="BO343" s="24" t="s">
        <v>733</v>
      </c>
      <c r="BP343" s="24" t="s">
        <v>733</v>
      </c>
      <c r="BQ343" s="24" t="s">
        <v>945</v>
      </c>
      <c r="BR343" s="24" t="s">
        <v>945</v>
      </c>
      <c r="BS343" s="25" t="s">
        <v>934</v>
      </c>
      <c r="BT343" s="24" t="s">
        <v>934</v>
      </c>
      <c r="BU343" s="24" t="s">
        <v>934</v>
      </c>
      <c r="BV343" s="24" t="s">
        <v>934</v>
      </c>
      <c r="BW343" s="24" t="s">
        <v>934</v>
      </c>
      <c r="BX343" s="24" t="s">
        <v>934</v>
      </c>
      <c r="BY343" s="25" t="s">
        <v>945</v>
      </c>
      <c r="BZ343" t="s">
        <v>5</v>
      </c>
      <c r="CB343" t="s">
        <v>1</v>
      </c>
      <c r="CC343" s="4">
        <f>AVERAGE(7.2,9.29)*1000*0.87</f>
        <v>7173.15</v>
      </c>
      <c r="CD343" s="4"/>
      <c r="CE343" s="4"/>
      <c r="CF343" t="s">
        <v>793</v>
      </c>
      <c r="CG343">
        <v>100</v>
      </c>
      <c r="CH343" t="s">
        <v>805</v>
      </c>
      <c r="CI343" s="1">
        <v>1.6</v>
      </c>
      <c r="CJ343" s="10" t="s">
        <v>1442</v>
      </c>
      <c r="CK343" s="9" t="s">
        <v>1</v>
      </c>
      <c r="CL343" s="4" t="s">
        <v>1</v>
      </c>
      <c r="CM343" s="4" t="s">
        <v>1</v>
      </c>
      <c r="CN343" s="4" t="s">
        <v>1</v>
      </c>
      <c r="CO343" s="4" t="s">
        <v>1</v>
      </c>
      <c r="CP343" s="4" t="s">
        <v>1</v>
      </c>
      <c r="CQ343" s="4" t="s">
        <v>1</v>
      </c>
      <c r="CR343" s="4" t="s">
        <v>1</v>
      </c>
      <c r="CS343" s="4" t="s">
        <v>1</v>
      </c>
      <c r="CT343" s="4" t="s">
        <v>1</v>
      </c>
      <c r="CU343" s="4" t="s">
        <v>1</v>
      </c>
      <c r="CV343" t="s">
        <v>850</v>
      </c>
      <c r="CW343">
        <v>100</v>
      </c>
      <c r="CX343">
        <v>0</v>
      </c>
      <c r="CY343">
        <v>30</v>
      </c>
      <c r="CZ343" s="26" t="s">
        <v>1358</v>
      </c>
      <c r="DA343" t="s">
        <v>734</v>
      </c>
      <c r="DB343">
        <v>30.2</v>
      </c>
      <c r="DC343">
        <v>0</v>
      </c>
      <c r="DD343">
        <v>30</v>
      </c>
      <c r="DE343" s="26" t="s">
        <v>1358</v>
      </c>
      <c r="DF343" t="s">
        <v>735</v>
      </c>
      <c r="DG343">
        <v>38.799999999999997</v>
      </c>
      <c r="DH343">
        <v>0</v>
      </c>
      <c r="DI343">
        <v>30</v>
      </c>
      <c r="DJ343" s="26" t="s">
        <v>1358</v>
      </c>
      <c r="DK343" t="s">
        <v>736</v>
      </c>
      <c r="DL343">
        <v>31</v>
      </c>
      <c r="DM343">
        <v>0</v>
      </c>
      <c r="DN343">
        <v>30</v>
      </c>
      <c r="DO343" s="26" t="s">
        <v>1358</v>
      </c>
      <c r="DP343" t="s">
        <v>1</v>
      </c>
      <c r="DQ343" t="s">
        <v>1</v>
      </c>
      <c r="DR343" t="s">
        <v>1</v>
      </c>
      <c r="DS343" t="s">
        <v>1</v>
      </c>
      <c r="DT343" t="s">
        <v>1</v>
      </c>
      <c r="DU343" t="s">
        <v>1</v>
      </c>
      <c r="EA343" t="s">
        <v>1</v>
      </c>
      <c r="EB343" t="s">
        <v>1</v>
      </c>
      <c r="EC343" t="s">
        <v>1</v>
      </c>
      <c r="ED343" t="s">
        <v>1</v>
      </c>
      <c r="EE343" t="s">
        <v>1</v>
      </c>
      <c r="FZ343" t="s">
        <v>806</v>
      </c>
      <c r="GA343">
        <v>676.5</v>
      </c>
      <c r="GE343" s="26" t="s">
        <v>1358</v>
      </c>
      <c r="HA343" s="5" t="s">
        <v>1</v>
      </c>
      <c r="HB343" s="4" t="s">
        <v>1</v>
      </c>
      <c r="HC343" t="s">
        <v>1</v>
      </c>
      <c r="HD343" t="s">
        <v>1</v>
      </c>
      <c r="HE343" t="s">
        <v>1</v>
      </c>
      <c r="HF343" s="5" t="s">
        <v>1</v>
      </c>
      <c r="HG343" s="4" t="s">
        <v>1</v>
      </c>
      <c r="HH343" t="s">
        <v>1</v>
      </c>
      <c r="HI343" t="s">
        <v>1</v>
      </c>
      <c r="HJ343" t="s">
        <v>1</v>
      </c>
      <c r="HK343" t="s">
        <v>1</v>
      </c>
      <c r="HL343" t="s">
        <v>1</v>
      </c>
      <c r="HM343" t="s">
        <v>1</v>
      </c>
      <c r="HN343" t="s">
        <v>1</v>
      </c>
      <c r="HO343" t="s">
        <v>1</v>
      </c>
      <c r="HP343" t="s">
        <v>1</v>
      </c>
      <c r="HZ343" t="s">
        <v>1295</v>
      </c>
      <c r="IA343">
        <v>150</v>
      </c>
      <c r="IB343" s="10" t="s">
        <v>822</v>
      </c>
      <c r="IC343" s="10"/>
      <c r="ID343" s="10"/>
      <c r="IE343" s="10" t="s">
        <v>1</v>
      </c>
      <c r="IF343" s="10" t="s">
        <v>1</v>
      </c>
      <c r="IG343" s="10"/>
      <c r="IH343" s="10"/>
      <c r="II343" s="10"/>
      <c r="IJ343" s="10"/>
      <c r="IK343" s="10"/>
      <c r="IL343" s="10"/>
      <c r="IM343" s="10"/>
      <c r="IN343" s="10"/>
      <c r="IO343" s="10"/>
      <c r="IP343" s="10"/>
      <c r="IQ343" s="10"/>
      <c r="IR343" s="10"/>
      <c r="IS343" t="s">
        <v>1</v>
      </c>
      <c r="IT343" t="s">
        <v>1</v>
      </c>
      <c r="IW343" t="s">
        <v>1</v>
      </c>
      <c r="IX343" t="s">
        <v>1</v>
      </c>
      <c r="IY343" t="s">
        <v>1</v>
      </c>
      <c r="IZ343" t="s">
        <v>1</v>
      </c>
      <c r="JA343" t="s">
        <v>1</v>
      </c>
      <c r="JB343" s="3" t="s">
        <v>1</v>
      </c>
      <c r="JC343" t="s">
        <v>1</v>
      </c>
      <c r="JD343" s="4" t="s">
        <v>1</v>
      </c>
      <c r="JE343" t="s">
        <v>811</v>
      </c>
      <c r="JF343">
        <v>100</v>
      </c>
      <c r="JR343" t="s">
        <v>1066</v>
      </c>
      <c r="JS343">
        <v>47.7</v>
      </c>
      <c r="JU343" t="s">
        <v>1</v>
      </c>
      <c r="JW343" t="s">
        <v>1</v>
      </c>
      <c r="JX343">
        <v>0</v>
      </c>
      <c r="JY343">
        <v>60</v>
      </c>
      <c r="JZ343" t="s">
        <v>797</v>
      </c>
      <c r="KA343" t="s">
        <v>147</v>
      </c>
      <c r="KB343" t="s">
        <v>738</v>
      </c>
      <c r="KC343" t="s">
        <v>1</v>
      </c>
      <c r="KD343" t="s">
        <v>1</v>
      </c>
      <c r="KE343" s="1" t="s">
        <v>1</v>
      </c>
      <c r="KF343" t="s">
        <v>1</v>
      </c>
      <c r="KG343" t="s">
        <v>1</v>
      </c>
      <c r="KH343" t="s">
        <v>1</v>
      </c>
      <c r="KI343" t="s">
        <v>1</v>
      </c>
      <c r="KJ343" t="s">
        <v>1</v>
      </c>
      <c r="KK343" t="s">
        <v>1</v>
      </c>
    </row>
    <row r="344" spans="1:297" x14ac:dyDescent="0.2">
      <c r="A344">
        <v>312</v>
      </c>
      <c r="B344" t="s">
        <v>705</v>
      </c>
      <c r="C344" t="s">
        <v>390</v>
      </c>
      <c r="D344" t="s">
        <v>386</v>
      </c>
      <c r="E344">
        <v>56</v>
      </c>
      <c r="F344" t="s">
        <v>387</v>
      </c>
      <c r="G344" t="s">
        <v>1</v>
      </c>
      <c r="H344" s="26" t="s">
        <v>1420</v>
      </c>
      <c r="I344" t="s">
        <v>1</v>
      </c>
      <c r="J344" t="s">
        <v>1</v>
      </c>
      <c r="K344" t="s">
        <v>1</v>
      </c>
      <c r="L344" t="s">
        <v>1</v>
      </c>
      <c r="M344" t="s">
        <v>1</v>
      </c>
      <c r="N344" t="s">
        <v>1</v>
      </c>
      <c r="O344" t="s">
        <v>1</v>
      </c>
      <c r="P344" t="s">
        <v>1</v>
      </c>
      <c r="Q344" t="s">
        <v>1</v>
      </c>
      <c r="R344" t="s">
        <v>1</v>
      </c>
      <c r="S344" t="s">
        <v>1</v>
      </c>
      <c r="T344" t="s">
        <v>1</v>
      </c>
      <c r="U344" t="s">
        <v>1</v>
      </c>
      <c r="V344" t="s">
        <v>1</v>
      </c>
      <c r="W344" t="s">
        <v>1</v>
      </c>
      <c r="X344" t="s">
        <v>1</v>
      </c>
      <c r="Y344" t="s">
        <v>1</v>
      </c>
      <c r="Z344" t="s">
        <v>1</v>
      </c>
      <c r="AA344" t="s">
        <v>1</v>
      </c>
      <c r="AB344" t="s">
        <v>1</v>
      </c>
      <c r="AC344" t="s">
        <v>1</v>
      </c>
      <c r="AD344" t="s">
        <v>1</v>
      </c>
      <c r="AE344" t="s">
        <v>1</v>
      </c>
      <c r="AF344" t="s">
        <v>1</v>
      </c>
      <c r="AG344" t="s">
        <v>1</v>
      </c>
      <c r="AH344" t="s">
        <v>1</v>
      </c>
      <c r="AI344" t="s">
        <v>1</v>
      </c>
      <c r="AJ344" t="s">
        <v>1</v>
      </c>
      <c r="AK344" t="s">
        <v>1</v>
      </c>
      <c r="AL344" t="s">
        <v>1</v>
      </c>
      <c r="AM344" t="s">
        <v>1</v>
      </c>
      <c r="AN344">
        <v>312</v>
      </c>
      <c r="AO344">
        <f t="shared" si="45"/>
        <v>312</v>
      </c>
      <c r="AP344">
        <f t="shared" si="47"/>
        <v>56</v>
      </c>
      <c r="AQ344">
        <f t="shared" si="48"/>
        <v>56</v>
      </c>
      <c r="AR344" s="26" t="s">
        <v>1355</v>
      </c>
      <c r="AS344" s="26" t="s">
        <v>1356</v>
      </c>
      <c r="AT344" t="s">
        <v>712</v>
      </c>
      <c r="AU344" t="s">
        <v>1</v>
      </c>
      <c r="AV344" t="s">
        <v>1</v>
      </c>
      <c r="AW344">
        <v>42.22</v>
      </c>
      <c r="AX344">
        <v>-82.73</v>
      </c>
      <c r="AY344" t="s">
        <v>737</v>
      </c>
      <c r="BA344" s="3">
        <v>3</v>
      </c>
      <c r="BB344" s="3"/>
      <c r="BC344" s="3"/>
      <c r="BD344" s="3"/>
      <c r="BE344" s="3"/>
      <c r="BF344">
        <v>1998</v>
      </c>
      <c r="BG344" s="24" t="s">
        <v>733</v>
      </c>
      <c r="BH344" s="24" t="s">
        <v>733</v>
      </c>
      <c r="BI344" s="24" t="s">
        <v>733</v>
      </c>
      <c r="BJ344" s="24" t="s">
        <v>732</v>
      </c>
      <c r="BK344" s="24" t="s">
        <v>733</v>
      </c>
      <c r="BL344" s="25" t="s">
        <v>733</v>
      </c>
      <c r="BM344" s="24" t="s">
        <v>733</v>
      </c>
      <c r="BN344" s="24" t="s">
        <v>732</v>
      </c>
      <c r="BO344" s="24" t="s">
        <v>733</v>
      </c>
      <c r="BP344" s="24" t="s">
        <v>733</v>
      </c>
      <c r="BQ344" s="24" t="s">
        <v>945</v>
      </c>
      <c r="BR344" s="24" t="s">
        <v>945</v>
      </c>
      <c r="BS344" s="25" t="s">
        <v>934</v>
      </c>
      <c r="BT344" s="24" t="s">
        <v>934</v>
      </c>
      <c r="BU344" s="24" t="s">
        <v>934</v>
      </c>
      <c r="BV344" s="24" t="s">
        <v>934</v>
      </c>
      <c r="BW344" s="24" t="s">
        <v>934</v>
      </c>
      <c r="BX344" s="24" t="s">
        <v>934</v>
      </c>
      <c r="BY344" s="25" t="s">
        <v>945</v>
      </c>
      <c r="BZ344" t="s">
        <v>5</v>
      </c>
      <c r="CB344" t="s">
        <v>1</v>
      </c>
      <c r="CC344" s="4">
        <f>AVERAGE(7.46,7.77)*1000*0.87</f>
        <v>6625.05</v>
      </c>
      <c r="CD344" s="4"/>
      <c r="CE344" s="4"/>
      <c r="CF344" t="s">
        <v>793</v>
      </c>
      <c r="CG344">
        <v>100</v>
      </c>
      <c r="CH344" t="s">
        <v>805</v>
      </c>
      <c r="CI344" s="1">
        <v>1</v>
      </c>
      <c r="CJ344" s="10" t="s">
        <v>1442</v>
      </c>
      <c r="CK344" s="9" t="s">
        <v>1</v>
      </c>
      <c r="CL344" s="4" t="s">
        <v>1</v>
      </c>
      <c r="CM344" s="4" t="s">
        <v>1</v>
      </c>
      <c r="CN344" s="4" t="s">
        <v>1</v>
      </c>
      <c r="CO344" s="4" t="s">
        <v>1</v>
      </c>
      <c r="CP344" s="4" t="s">
        <v>1</v>
      </c>
      <c r="CQ344" s="4" t="s">
        <v>1</v>
      </c>
      <c r="CR344" s="4" t="s">
        <v>1</v>
      </c>
      <c r="CS344" s="4" t="s">
        <v>1</v>
      </c>
      <c r="CT344" s="4" t="s">
        <v>1</v>
      </c>
      <c r="CU344" s="4" t="s">
        <v>1</v>
      </c>
      <c r="CV344" t="s">
        <v>850</v>
      </c>
      <c r="CW344">
        <v>100</v>
      </c>
      <c r="CX344">
        <v>0</v>
      </c>
      <c r="CY344">
        <v>30</v>
      </c>
      <c r="CZ344" s="26" t="s">
        <v>1358</v>
      </c>
      <c r="DA344" t="s">
        <v>734</v>
      </c>
      <c r="DB344">
        <v>30.2</v>
      </c>
      <c r="DC344">
        <v>0</v>
      </c>
      <c r="DD344">
        <v>30</v>
      </c>
      <c r="DE344" s="26" t="s">
        <v>1358</v>
      </c>
      <c r="DF344" t="s">
        <v>735</v>
      </c>
      <c r="DG344">
        <v>38.799999999999997</v>
      </c>
      <c r="DH344">
        <v>0</v>
      </c>
      <c r="DI344">
        <v>30</v>
      </c>
      <c r="DJ344" s="26" t="s">
        <v>1358</v>
      </c>
      <c r="DK344" t="s">
        <v>736</v>
      </c>
      <c r="DL344">
        <v>31</v>
      </c>
      <c r="DM344">
        <v>0</v>
      </c>
      <c r="DN344">
        <v>30</v>
      </c>
      <c r="DO344" s="26" t="s">
        <v>1358</v>
      </c>
      <c r="DP344" t="s">
        <v>1</v>
      </c>
      <c r="DQ344" t="s">
        <v>1</v>
      </c>
      <c r="DR344" t="s">
        <v>1</v>
      </c>
      <c r="DS344" t="s">
        <v>1</v>
      </c>
      <c r="DT344" t="s">
        <v>1</v>
      </c>
      <c r="DU344" t="s">
        <v>1</v>
      </c>
      <c r="EA344" t="s">
        <v>1</v>
      </c>
      <c r="EB344" t="s">
        <v>1</v>
      </c>
      <c r="EC344" t="s">
        <v>1</v>
      </c>
      <c r="ED344" t="s">
        <v>1</v>
      </c>
      <c r="EE344" t="s">
        <v>1</v>
      </c>
      <c r="FZ344" t="s">
        <v>806</v>
      </c>
      <c r="GA344">
        <v>676.5</v>
      </c>
      <c r="GE344" s="26" t="s">
        <v>1358</v>
      </c>
      <c r="HA344" s="5" t="s">
        <v>1</v>
      </c>
      <c r="HB344" s="4" t="s">
        <v>1</v>
      </c>
      <c r="HC344" t="s">
        <v>1</v>
      </c>
      <c r="HD344" t="s">
        <v>1</v>
      </c>
      <c r="HE344" t="s">
        <v>1</v>
      </c>
      <c r="HF344" s="5" t="s">
        <v>1</v>
      </c>
      <c r="HG344" s="4" t="s">
        <v>1</v>
      </c>
      <c r="HH344" t="s">
        <v>1</v>
      </c>
      <c r="HI344" t="s">
        <v>1</v>
      </c>
      <c r="HJ344" t="s">
        <v>1</v>
      </c>
      <c r="HK344" t="s">
        <v>1</v>
      </c>
      <c r="HL344" t="s">
        <v>1</v>
      </c>
      <c r="HM344" t="s">
        <v>1</v>
      </c>
      <c r="HN344" t="s">
        <v>1</v>
      </c>
      <c r="HO344" t="s">
        <v>1</v>
      </c>
      <c r="HP344" t="s">
        <v>1</v>
      </c>
      <c r="HZ344" t="s">
        <v>1295</v>
      </c>
      <c r="IA344">
        <v>150</v>
      </c>
      <c r="IB344" s="10" t="s">
        <v>822</v>
      </c>
      <c r="IC344" s="10"/>
      <c r="ID344" s="10"/>
      <c r="IE344" s="10" t="s">
        <v>1</v>
      </c>
      <c r="IF344" s="10" t="s">
        <v>1</v>
      </c>
      <c r="IG344" s="10"/>
      <c r="IH344" s="10"/>
      <c r="II344" s="10"/>
      <c r="IJ344" s="10"/>
      <c r="IK344" s="10"/>
      <c r="IL344" s="10"/>
      <c r="IM344" s="10"/>
      <c r="IN344" s="10"/>
      <c r="IO344" s="10"/>
      <c r="IP344" s="10"/>
      <c r="IQ344" s="10"/>
      <c r="IR344" s="10"/>
      <c r="IS344" t="s">
        <v>1</v>
      </c>
      <c r="IT344" t="s">
        <v>1</v>
      </c>
      <c r="IW344" t="s">
        <v>1</v>
      </c>
      <c r="IX344" t="s">
        <v>1</v>
      </c>
      <c r="IY344" t="s">
        <v>808</v>
      </c>
      <c r="IZ344">
        <v>901.5</v>
      </c>
      <c r="JA344" t="s">
        <v>1</v>
      </c>
      <c r="JB344" s="3" t="s">
        <v>1</v>
      </c>
      <c r="JC344" t="s">
        <v>1</v>
      </c>
      <c r="JD344" s="4" t="s">
        <v>1</v>
      </c>
      <c r="JE344" t="s">
        <v>811</v>
      </c>
      <c r="JF344">
        <v>100</v>
      </c>
      <c r="JR344" t="s">
        <v>1066</v>
      </c>
      <c r="JS344">
        <v>31.1</v>
      </c>
      <c r="JU344" t="s">
        <v>1</v>
      </c>
      <c r="JW344" t="s">
        <v>1</v>
      </c>
      <c r="JX344">
        <v>0</v>
      </c>
      <c r="JY344">
        <v>60</v>
      </c>
      <c r="JZ344" t="s">
        <v>797</v>
      </c>
      <c r="KA344" t="s">
        <v>147</v>
      </c>
      <c r="KB344" t="s">
        <v>738</v>
      </c>
      <c r="KC344" t="s">
        <v>1</v>
      </c>
      <c r="KD344" t="s">
        <v>1</v>
      </c>
      <c r="KE344" s="1" t="s">
        <v>1</v>
      </c>
      <c r="KF344" t="s">
        <v>1</v>
      </c>
      <c r="KG344" t="s">
        <v>1</v>
      </c>
      <c r="KH344" t="s">
        <v>1</v>
      </c>
      <c r="KI344" t="s">
        <v>1</v>
      </c>
      <c r="KJ344" t="s">
        <v>1</v>
      </c>
      <c r="KK344" t="s">
        <v>1</v>
      </c>
    </row>
    <row r="345" spans="1:297" x14ac:dyDescent="0.2">
      <c r="A345">
        <v>313</v>
      </c>
      <c r="B345" t="s">
        <v>705</v>
      </c>
      <c r="C345" t="s">
        <v>391</v>
      </c>
      <c r="D345" t="s">
        <v>386</v>
      </c>
      <c r="E345">
        <v>56</v>
      </c>
      <c r="F345" t="s">
        <v>387</v>
      </c>
      <c r="G345" t="s">
        <v>1</v>
      </c>
      <c r="H345" s="26" t="s">
        <v>1420</v>
      </c>
      <c r="I345" t="s">
        <v>1</v>
      </c>
      <c r="J345" t="s">
        <v>1</v>
      </c>
      <c r="K345" t="s">
        <v>1</v>
      </c>
      <c r="L345" t="s">
        <v>1</v>
      </c>
      <c r="M345" t="s">
        <v>1</v>
      </c>
      <c r="N345" t="s">
        <v>1</v>
      </c>
      <c r="O345" t="s">
        <v>1</v>
      </c>
      <c r="P345" t="s">
        <v>1</v>
      </c>
      <c r="Q345" t="s">
        <v>1</v>
      </c>
      <c r="R345" t="s">
        <v>1</v>
      </c>
      <c r="S345" t="s">
        <v>1</v>
      </c>
      <c r="T345" t="s">
        <v>1</v>
      </c>
      <c r="U345" t="s">
        <v>1</v>
      </c>
      <c r="V345" t="s">
        <v>1</v>
      </c>
      <c r="W345" t="s">
        <v>1</v>
      </c>
      <c r="X345" t="s">
        <v>1</v>
      </c>
      <c r="Y345" t="s">
        <v>1</v>
      </c>
      <c r="Z345" t="s">
        <v>1</v>
      </c>
      <c r="AA345" t="s">
        <v>1</v>
      </c>
      <c r="AB345" t="s">
        <v>1</v>
      </c>
      <c r="AC345" t="s">
        <v>1</v>
      </c>
      <c r="AD345" t="s">
        <v>1</v>
      </c>
      <c r="AE345" t="s">
        <v>1</v>
      </c>
      <c r="AF345" t="s">
        <v>1</v>
      </c>
      <c r="AG345" t="s">
        <v>1</v>
      </c>
      <c r="AH345" t="s">
        <v>1</v>
      </c>
      <c r="AI345" t="s">
        <v>1</v>
      </c>
      <c r="AJ345" t="s">
        <v>1</v>
      </c>
      <c r="AK345" t="s">
        <v>1</v>
      </c>
      <c r="AL345" t="s">
        <v>1</v>
      </c>
      <c r="AM345" t="s">
        <v>1</v>
      </c>
      <c r="AN345">
        <v>313</v>
      </c>
      <c r="AO345">
        <f t="shared" si="45"/>
        <v>313</v>
      </c>
      <c r="AP345">
        <f t="shared" si="47"/>
        <v>56</v>
      </c>
      <c r="AQ345">
        <f t="shared" si="48"/>
        <v>56</v>
      </c>
      <c r="AR345" s="26" t="s">
        <v>1355</v>
      </c>
      <c r="AS345" s="26" t="s">
        <v>1356</v>
      </c>
      <c r="AT345" t="s">
        <v>712</v>
      </c>
      <c r="AU345" t="s">
        <v>1</v>
      </c>
      <c r="AV345" t="s">
        <v>1</v>
      </c>
      <c r="AW345">
        <v>42.22</v>
      </c>
      <c r="AX345">
        <v>-82.73</v>
      </c>
      <c r="AY345" t="s">
        <v>737</v>
      </c>
      <c r="BA345" s="3">
        <v>2</v>
      </c>
      <c r="BB345" s="3"/>
      <c r="BC345" s="3"/>
      <c r="BD345" s="3"/>
      <c r="BE345" s="3"/>
      <c r="BF345">
        <v>1998</v>
      </c>
      <c r="BG345" s="24" t="s">
        <v>733</v>
      </c>
      <c r="BH345" s="24" t="s">
        <v>733</v>
      </c>
      <c r="BI345" s="24" t="s">
        <v>733</v>
      </c>
      <c r="BJ345" s="24" t="s">
        <v>732</v>
      </c>
      <c r="BK345" s="24" t="s">
        <v>733</v>
      </c>
      <c r="BL345" s="25" t="s">
        <v>733</v>
      </c>
      <c r="BM345" s="24" t="s">
        <v>733</v>
      </c>
      <c r="BN345" s="24" t="s">
        <v>732</v>
      </c>
      <c r="BO345" s="24" t="s">
        <v>733</v>
      </c>
      <c r="BP345" s="24" t="s">
        <v>733</v>
      </c>
      <c r="BQ345" s="24" t="s">
        <v>945</v>
      </c>
      <c r="BR345" s="24" t="s">
        <v>945</v>
      </c>
      <c r="BS345" s="25" t="s">
        <v>934</v>
      </c>
      <c r="BT345" s="24" t="s">
        <v>934</v>
      </c>
      <c r="BU345" s="24" t="s">
        <v>934</v>
      </c>
      <c r="BV345" s="24" t="s">
        <v>934</v>
      </c>
      <c r="BW345" s="24" t="s">
        <v>934</v>
      </c>
      <c r="BX345" s="24" t="s">
        <v>934</v>
      </c>
      <c r="BY345" s="25" t="s">
        <v>945</v>
      </c>
      <c r="BZ345" t="s">
        <v>5</v>
      </c>
      <c r="CB345" t="s">
        <v>1</v>
      </c>
      <c r="CC345" s="4">
        <f>AVERAGE(7.86,9.9)*1000*0.87</f>
        <v>7725.6</v>
      </c>
      <c r="CD345" s="4"/>
      <c r="CE345" s="4"/>
      <c r="CF345" t="s">
        <v>793</v>
      </c>
      <c r="CG345">
        <v>100</v>
      </c>
      <c r="CH345" t="s">
        <v>805</v>
      </c>
      <c r="CI345" s="1">
        <v>1.6</v>
      </c>
      <c r="CJ345" s="10" t="s">
        <v>1442</v>
      </c>
      <c r="CK345" s="9" t="s">
        <v>1</v>
      </c>
      <c r="CL345" s="4" t="s">
        <v>1</v>
      </c>
      <c r="CM345" s="4" t="s">
        <v>1</v>
      </c>
      <c r="CN345" s="4" t="s">
        <v>1</v>
      </c>
      <c r="CO345" s="4" t="s">
        <v>1</v>
      </c>
      <c r="CP345" s="4" t="s">
        <v>1</v>
      </c>
      <c r="CQ345" s="4" t="s">
        <v>1</v>
      </c>
      <c r="CR345" s="4" t="s">
        <v>1</v>
      </c>
      <c r="CS345" s="4" t="s">
        <v>1</v>
      </c>
      <c r="CT345" s="4" t="s">
        <v>1</v>
      </c>
      <c r="CU345" s="4" t="s">
        <v>1</v>
      </c>
      <c r="CV345" t="s">
        <v>850</v>
      </c>
      <c r="CW345">
        <v>100</v>
      </c>
      <c r="CX345">
        <v>0</v>
      </c>
      <c r="CY345">
        <v>30</v>
      </c>
      <c r="CZ345" s="26" t="s">
        <v>1358</v>
      </c>
      <c r="DA345" t="s">
        <v>734</v>
      </c>
      <c r="DB345">
        <v>30.2</v>
      </c>
      <c r="DC345">
        <v>0</v>
      </c>
      <c r="DD345">
        <v>30</v>
      </c>
      <c r="DE345" s="26" t="s">
        <v>1358</v>
      </c>
      <c r="DF345" t="s">
        <v>735</v>
      </c>
      <c r="DG345">
        <v>38.799999999999997</v>
      </c>
      <c r="DH345">
        <v>0</v>
      </c>
      <c r="DI345">
        <v>30</v>
      </c>
      <c r="DJ345" s="26" t="s">
        <v>1358</v>
      </c>
      <c r="DK345" t="s">
        <v>736</v>
      </c>
      <c r="DL345">
        <v>31</v>
      </c>
      <c r="DM345">
        <v>0</v>
      </c>
      <c r="DN345">
        <v>30</v>
      </c>
      <c r="DO345" s="26" t="s">
        <v>1358</v>
      </c>
      <c r="DP345" t="s">
        <v>1</v>
      </c>
      <c r="DQ345" t="s">
        <v>1</v>
      </c>
      <c r="DR345" t="s">
        <v>1</v>
      </c>
      <c r="DS345" t="s">
        <v>1</v>
      </c>
      <c r="DT345" t="s">
        <v>1</v>
      </c>
      <c r="DU345" t="s">
        <v>1</v>
      </c>
      <c r="EA345" t="s">
        <v>1</v>
      </c>
      <c r="EB345" t="s">
        <v>1</v>
      </c>
      <c r="EC345" t="s">
        <v>1</v>
      </c>
      <c r="ED345" t="s">
        <v>1</v>
      </c>
      <c r="EE345" t="s">
        <v>1</v>
      </c>
      <c r="FZ345" t="s">
        <v>806</v>
      </c>
      <c r="GA345">
        <v>676.5</v>
      </c>
      <c r="GE345" s="26" t="s">
        <v>1358</v>
      </c>
      <c r="HA345" s="5" t="s">
        <v>1</v>
      </c>
      <c r="HB345" s="4" t="s">
        <v>1</v>
      </c>
      <c r="HC345" t="s">
        <v>1</v>
      </c>
      <c r="HD345" t="s">
        <v>1</v>
      </c>
      <c r="HE345" t="s">
        <v>1</v>
      </c>
      <c r="HF345" s="5" t="s">
        <v>1</v>
      </c>
      <c r="HG345" s="4" t="s">
        <v>1</v>
      </c>
      <c r="HH345" t="s">
        <v>1</v>
      </c>
      <c r="HI345" t="s">
        <v>1</v>
      </c>
      <c r="HJ345" t="s">
        <v>1</v>
      </c>
      <c r="HK345" t="s">
        <v>1</v>
      </c>
      <c r="HL345" t="s">
        <v>1</v>
      </c>
      <c r="HM345" t="s">
        <v>1</v>
      </c>
      <c r="HN345" t="s">
        <v>1</v>
      </c>
      <c r="HO345" t="s">
        <v>1</v>
      </c>
      <c r="HP345" t="s">
        <v>1</v>
      </c>
      <c r="HZ345" t="s">
        <v>1295</v>
      </c>
      <c r="IA345">
        <v>200</v>
      </c>
      <c r="IB345" s="10" t="s">
        <v>822</v>
      </c>
      <c r="IC345" s="10"/>
      <c r="ID345" s="10"/>
      <c r="IE345" s="10" t="s">
        <v>1</v>
      </c>
      <c r="IF345" s="10" t="s">
        <v>1</v>
      </c>
      <c r="IG345" s="10"/>
      <c r="IH345" s="10"/>
      <c r="II345" s="10"/>
      <c r="IJ345" s="10"/>
      <c r="IK345" s="10"/>
      <c r="IL345" s="10"/>
      <c r="IM345" s="10"/>
      <c r="IN345" s="10"/>
      <c r="IO345" s="10"/>
      <c r="IP345" s="10"/>
      <c r="IQ345" s="10"/>
      <c r="IR345" s="10"/>
      <c r="IS345" t="s">
        <v>1</v>
      </c>
      <c r="IT345" t="s">
        <v>1</v>
      </c>
      <c r="IW345" t="s">
        <v>1</v>
      </c>
      <c r="IX345" t="s">
        <v>1</v>
      </c>
      <c r="IY345" t="s">
        <v>1</v>
      </c>
      <c r="IZ345" t="s">
        <v>1</v>
      </c>
      <c r="JA345" t="s">
        <v>1</v>
      </c>
      <c r="JB345" s="3" t="s">
        <v>1</v>
      </c>
      <c r="JC345" t="s">
        <v>1</v>
      </c>
      <c r="JD345" s="4" t="s">
        <v>1</v>
      </c>
      <c r="JE345" t="s">
        <v>811</v>
      </c>
      <c r="JF345">
        <v>100</v>
      </c>
      <c r="JR345" t="s">
        <v>1066</v>
      </c>
      <c r="JS345">
        <v>96.3</v>
      </c>
      <c r="JU345" t="s">
        <v>1</v>
      </c>
      <c r="JW345" t="s">
        <v>1</v>
      </c>
      <c r="JX345">
        <v>0</v>
      </c>
      <c r="JY345">
        <v>60</v>
      </c>
      <c r="JZ345" t="s">
        <v>797</v>
      </c>
      <c r="KA345" t="s">
        <v>147</v>
      </c>
      <c r="KB345" t="s">
        <v>738</v>
      </c>
      <c r="KC345" t="s">
        <v>1</v>
      </c>
      <c r="KD345" t="s">
        <v>1</v>
      </c>
      <c r="KE345" s="1" t="s">
        <v>1</v>
      </c>
      <c r="KF345" t="s">
        <v>1</v>
      </c>
      <c r="KG345" t="s">
        <v>1</v>
      </c>
      <c r="KH345" t="s">
        <v>1</v>
      </c>
      <c r="KI345" t="s">
        <v>1</v>
      </c>
      <c r="KJ345" t="s">
        <v>1</v>
      </c>
      <c r="KK345" t="s">
        <v>1</v>
      </c>
    </row>
    <row r="346" spans="1:297" x14ac:dyDescent="0.2">
      <c r="A346">
        <v>314</v>
      </c>
      <c r="B346" t="s">
        <v>705</v>
      </c>
      <c r="C346" t="s">
        <v>392</v>
      </c>
      <c r="D346" t="s">
        <v>386</v>
      </c>
      <c r="E346">
        <v>56</v>
      </c>
      <c r="F346" t="s">
        <v>387</v>
      </c>
      <c r="G346" t="s">
        <v>1</v>
      </c>
      <c r="H346" s="26" t="s">
        <v>1420</v>
      </c>
      <c r="I346" t="s">
        <v>1</v>
      </c>
      <c r="J346" t="s">
        <v>1</v>
      </c>
      <c r="K346" t="s">
        <v>1</v>
      </c>
      <c r="L346" t="s">
        <v>1</v>
      </c>
      <c r="M346" t="s">
        <v>1</v>
      </c>
      <c r="N346" t="s">
        <v>1</v>
      </c>
      <c r="O346" t="s">
        <v>1</v>
      </c>
      <c r="P346" t="s">
        <v>1</v>
      </c>
      <c r="Q346" t="s">
        <v>1</v>
      </c>
      <c r="R346" t="s">
        <v>1</v>
      </c>
      <c r="S346" t="s">
        <v>1</v>
      </c>
      <c r="T346" t="s">
        <v>1</v>
      </c>
      <c r="U346" t="s">
        <v>1</v>
      </c>
      <c r="V346" t="s">
        <v>1</v>
      </c>
      <c r="W346" t="s">
        <v>1</v>
      </c>
      <c r="X346" t="s">
        <v>1</v>
      </c>
      <c r="Y346" t="s">
        <v>1</v>
      </c>
      <c r="Z346" t="s">
        <v>1</v>
      </c>
      <c r="AA346" t="s">
        <v>1</v>
      </c>
      <c r="AB346" t="s">
        <v>1</v>
      </c>
      <c r="AC346" t="s">
        <v>1</v>
      </c>
      <c r="AD346" t="s">
        <v>1</v>
      </c>
      <c r="AE346" t="s">
        <v>1</v>
      </c>
      <c r="AF346" t="s">
        <v>1</v>
      </c>
      <c r="AG346" t="s">
        <v>1</v>
      </c>
      <c r="AH346" t="s">
        <v>1</v>
      </c>
      <c r="AI346" t="s">
        <v>1</v>
      </c>
      <c r="AJ346" t="s">
        <v>1</v>
      </c>
      <c r="AK346" t="s">
        <v>1</v>
      </c>
      <c r="AL346" t="s">
        <v>1</v>
      </c>
      <c r="AM346" t="s">
        <v>1</v>
      </c>
      <c r="AN346">
        <v>314</v>
      </c>
      <c r="AO346">
        <f t="shared" si="45"/>
        <v>314</v>
      </c>
      <c r="AP346">
        <f t="shared" si="47"/>
        <v>56</v>
      </c>
      <c r="AQ346">
        <f t="shared" si="48"/>
        <v>56</v>
      </c>
      <c r="AR346" s="26" t="s">
        <v>1355</v>
      </c>
      <c r="AS346" s="26" t="s">
        <v>1356</v>
      </c>
      <c r="AT346" t="s">
        <v>712</v>
      </c>
      <c r="AU346" t="s">
        <v>1</v>
      </c>
      <c r="AV346" t="s">
        <v>1</v>
      </c>
      <c r="AW346">
        <v>42.22</v>
      </c>
      <c r="AX346">
        <v>-82.73</v>
      </c>
      <c r="AY346" t="s">
        <v>737</v>
      </c>
      <c r="BA346" s="3">
        <v>2</v>
      </c>
      <c r="BB346" s="3"/>
      <c r="BC346" s="3"/>
      <c r="BD346" s="3"/>
      <c r="BE346" s="3"/>
      <c r="BF346">
        <v>1998</v>
      </c>
      <c r="BG346" s="24" t="s">
        <v>733</v>
      </c>
      <c r="BH346" s="24" t="s">
        <v>733</v>
      </c>
      <c r="BI346" s="24" t="s">
        <v>733</v>
      </c>
      <c r="BJ346" s="24" t="s">
        <v>732</v>
      </c>
      <c r="BK346" s="24" t="s">
        <v>733</v>
      </c>
      <c r="BL346" s="25" t="s">
        <v>733</v>
      </c>
      <c r="BM346" s="24" t="s">
        <v>733</v>
      </c>
      <c r="BN346" s="24" t="s">
        <v>732</v>
      </c>
      <c r="BO346" s="24" t="s">
        <v>733</v>
      </c>
      <c r="BP346" s="24" t="s">
        <v>733</v>
      </c>
      <c r="BQ346" s="24" t="s">
        <v>945</v>
      </c>
      <c r="BR346" s="24" t="s">
        <v>945</v>
      </c>
      <c r="BS346" s="25" t="s">
        <v>934</v>
      </c>
      <c r="BT346" s="24" t="s">
        <v>934</v>
      </c>
      <c r="BU346" s="24" t="s">
        <v>934</v>
      </c>
      <c r="BV346" s="24" t="s">
        <v>934</v>
      </c>
      <c r="BW346" s="24" t="s">
        <v>934</v>
      </c>
      <c r="BX346" s="24" t="s">
        <v>934</v>
      </c>
      <c r="BY346" s="25" t="s">
        <v>945</v>
      </c>
      <c r="BZ346" t="s">
        <v>5</v>
      </c>
      <c r="CB346" t="s">
        <v>1</v>
      </c>
      <c r="CC346" s="4">
        <f>AVERAGE(8.25,9.96)*1000*0.87</f>
        <v>7921.35</v>
      </c>
      <c r="CD346" s="4"/>
      <c r="CE346" s="4"/>
      <c r="CF346" t="s">
        <v>793</v>
      </c>
      <c r="CG346">
        <v>100</v>
      </c>
      <c r="CH346" t="s">
        <v>805</v>
      </c>
      <c r="CI346" s="1">
        <v>1.6</v>
      </c>
      <c r="CJ346" s="10" t="s">
        <v>1442</v>
      </c>
      <c r="CK346" s="9" t="s">
        <v>1</v>
      </c>
      <c r="CL346" s="4" t="s">
        <v>1</v>
      </c>
      <c r="CM346" s="4" t="s">
        <v>1</v>
      </c>
      <c r="CN346" s="4" t="s">
        <v>1</v>
      </c>
      <c r="CO346" s="4" t="s">
        <v>1</v>
      </c>
      <c r="CP346" s="4" t="s">
        <v>1</v>
      </c>
      <c r="CQ346" s="4" t="s">
        <v>1</v>
      </c>
      <c r="CR346" s="4" t="s">
        <v>1</v>
      </c>
      <c r="CS346" s="4" t="s">
        <v>1</v>
      </c>
      <c r="CT346" s="4" t="s">
        <v>1</v>
      </c>
      <c r="CU346" s="4" t="s">
        <v>1</v>
      </c>
      <c r="CV346" t="s">
        <v>850</v>
      </c>
      <c r="CW346">
        <v>100</v>
      </c>
      <c r="CX346">
        <v>0</v>
      </c>
      <c r="CY346">
        <v>30</v>
      </c>
      <c r="CZ346" s="26" t="s">
        <v>1358</v>
      </c>
      <c r="DA346" t="s">
        <v>734</v>
      </c>
      <c r="DB346">
        <v>30.2</v>
      </c>
      <c r="DC346">
        <v>0</v>
      </c>
      <c r="DD346">
        <v>30</v>
      </c>
      <c r="DE346" s="26" t="s">
        <v>1358</v>
      </c>
      <c r="DF346" t="s">
        <v>735</v>
      </c>
      <c r="DG346">
        <v>38.799999999999997</v>
      </c>
      <c r="DH346">
        <v>0</v>
      </c>
      <c r="DI346">
        <v>30</v>
      </c>
      <c r="DJ346" s="26" t="s">
        <v>1358</v>
      </c>
      <c r="DK346" t="s">
        <v>736</v>
      </c>
      <c r="DL346">
        <v>31</v>
      </c>
      <c r="DM346">
        <v>0</v>
      </c>
      <c r="DN346">
        <v>30</v>
      </c>
      <c r="DO346" s="26" t="s">
        <v>1358</v>
      </c>
      <c r="DP346" t="s">
        <v>1</v>
      </c>
      <c r="DQ346" t="s">
        <v>1</v>
      </c>
      <c r="DR346" t="s">
        <v>1</v>
      </c>
      <c r="DS346" t="s">
        <v>1</v>
      </c>
      <c r="DT346" t="s">
        <v>1</v>
      </c>
      <c r="DU346" t="s">
        <v>1</v>
      </c>
      <c r="EA346" t="s">
        <v>1</v>
      </c>
      <c r="EB346" t="s">
        <v>1</v>
      </c>
      <c r="EC346" t="s">
        <v>1</v>
      </c>
      <c r="ED346" t="s">
        <v>1</v>
      </c>
      <c r="EE346" t="s">
        <v>1</v>
      </c>
      <c r="FZ346" t="s">
        <v>806</v>
      </c>
      <c r="GA346">
        <v>676.5</v>
      </c>
      <c r="GE346" s="26" t="s">
        <v>1358</v>
      </c>
      <c r="HA346" s="5" t="s">
        <v>1</v>
      </c>
      <c r="HB346" s="4" t="s">
        <v>1</v>
      </c>
      <c r="HC346" t="s">
        <v>1</v>
      </c>
      <c r="HD346" t="s">
        <v>1</v>
      </c>
      <c r="HE346" t="s">
        <v>1</v>
      </c>
      <c r="HF346" s="5" t="s">
        <v>1</v>
      </c>
      <c r="HG346" s="4" t="s">
        <v>1</v>
      </c>
      <c r="HH346" t="s">
        <v>1</v>
      </c>
      <c r="HI346" t="s">
        <v>1</v>
      </c>
      <c r="HJ346" t="s">
        <v>1</v>
      </c>
      <c r="HK346" t="s">
        <v>1</v>
      </c>
      <c r="HL346" t="s">
        <v>1</v>
      </c>
      <c r="HM346" t="s">
        <v>1</v>
      </c>
      <c r="HN346" t="s">
        <v>1</v>
      </c>
      <c r="HO346" t="s">
        <v>1</v>
      </c>
      <c r="HP346" t="s">
        <v>1</v>
      </c>
      <c r="HZ346" t="s">
        <v>1295</v>
      </c>
      <c r="IA346">
        <v>200</v>
      </c>
      <c r="IB346" s="10" t="s">
        <v>822</v>
      </c>
      <c r="IC346" s="10"/>
      <c r="ID346" s="10"/>
      <c r="IE346" s="10" t="s">
        <v>1</v>
      </c>
      <c r="IF346" s="10" t="s">
        <v>1</v>
      </c>
      <c r="IG346" s="10"/>
      <c r="IH346" s="10"/>
      <c r="II346" s="10"/>
      <c r="IJ346" s="10"/>
      <c r="IK346" s="10"/>
      <c r="IL346" s="10"/>
      <c r="IM346" s="10"/>
      <c r="IN346" s="10"/>
      <c r="IO346" s="10"/>
      <c r="IP346" s="10"/>
      <c r="IQ346" s="10"/>
      <c r="IR346" s="10"/>
      <c r="IS346" t="s">
        <v>1</v>
      </c>
      <c r="IT346" t="s">
        <v>1</v>
      </c>
      <c r="IW346" t="s">
        <v>1</v>
      </c>
      <c r="IX346" t="s">
        <v>1</v>
      </c>
      <c r="IY346" t="s">
        <v>1</v>
      </c>
      <c r="IZ346" t="s">
        <v>1</v>
      </c>
      <c r="JA346" t="s">
        <v>1</v>
      </c>
      <c r="JB346" s="3" t="s">
        <v>1</v>
      </c>
      <c r="JC346" t="s">
        <v>1</v>
      </c>
      <c r="JD346" s="4" t="s">
        <v>1</v>
      </c>
      <c r="JE346" t="s">
        <v>811</v>
      </c>
      <c r="JF346">
        <v>100</v>
      </c>
      <c r="JR346" t="s">
        <v>1066</v>
      </c>
      <c r="JS346">
        <v>70.099999999999994</v>
      </c>
      <c r="JU346" t="s">
        <v>1</v>
      </c>
      <c r="JW346" t="s">
        <v>1</v>
      </c>
      <c r="JX346">
        <v>0</v>
      </c>
      <c r="JY346">
        <v>60</v>
      </c>
      <c r="JZ346" t="s">
        <v>797</v>
      </c>
      <c r="KA346" t="s">
        <v>147</v>
      </c>
      <c r="KB346" t="s">
        <v>738</v>
      </c>
      <c r="KC346" t="s">
        <v>1</v>
      </c>
      <c r="KD346" t="s">
        <v>1</v>
      </c>
      <c r="KE346" s="1" t="s">
        <v>1</v>
      </c>
      <c r="KF346" t="s">
        <v>1</v>
      </c>
      <c r="KG346" t="s">
        <v>1</v>
      </c>
      <c r="KH346" t="s">
        <v>1</v>
      </c>
      <c r="KI346" t="s">
        <v>1</v>
      </c>
      <c r="KJ346" t="s">
        <v>1</v>
      </c>
      <c r="KK346" t="s">
        <v>1</v>
      </c>
    </row>
    <row r="347" spans="1:297" x14ac:dyDescent="0.2">
      <c r="A347">
        <v>315</v>
      </c>
      <c r="B347" t="s">
        <v>705</v>
      </c>
      <c r="C347" t="s">
        <v>393</v>
      </c>
      <c r="D347" t="s">
        <v>386</v>
      </c>
      <c r="E347">
        <v>56</v>
      </c>
      <c r="F347" t="s">
        <v>387</v>
      </c>
      <c r="G347" t="s">
        <v>1</v>
      </c>
      <c r="H347" s="26" t="s">
        <v>1420</v>
      </c>
      <c r="I347" t="s">
        <v>1</v>
      </c>
      <c r="J347" t="s">
        <v>1</v>
      </c>
      <c r="K347" t="s">
        <v>1</v>
      </c>
      <c r="L347" t="s">
        <v>1</v>
      </c>
      <c r="M347" t="s">
        <v>1</v>
      </c>
      <c r="N347" t="s">
        <v>1</v>
      </c>
      <c r="O347" t="s">
        <v>1</v>
      </c>
      <c r="P347" t="s">
        <v>1</v>
      </c>
      <c r="Q347" t="s">
        <v>1</v>
      </c>
      <c r="R347" t="s">
        <v>1</v>
      </c>
      <c r="S347" t="s">
        <v>1</v>
      </c>
      <c r="T347" t="s">
        <v>1</v>
      </c>
      <c r="U347" t="s">
        <v>1</v>
      </c>
      <c r="V347" t="s">
        <v>1</v>
      </c>
      <c r="W347" t="s">
        <v>1</v>
      </c>
      <c r="X347" t="s">
        <v>1</v>
      </c>
      <c r="Y347" t="s">
        <v>1</v>
      </c>
      <c r="Z347" t="s">
        <v>1</v>
      </c>
      <c r="AA347" t="s">
        <v>1</v>
      </c>
      <c r="AB347" t="s">
        <v>1</v>
      </c>
      <c r="AC347" t="s">
        <v>1</v>
      </c>
      <c r="AD347" t="s">
        <v>1</v>
      </c>
      <c r="AE347" t="s">
        <v>1</v>
      </c>
      <c r="AF347" t="s">
        <v>1</v>
      </c>
      <c r="AG347" t="s">
        <v>1</v>
      </c>
      <c r="AH347" t="s">
        <v>1</v>
      </c>
      <c r="AI347" t="s">
        <v>1</v>
      </c>
      <c r="AJ347" t="s">
        <v>1</v>
      </c>
      <c r="AK347" t="s">
        <v>1</v>
      </c>
      <c r="AL347" t="s">
        <v>1</v>
      </c>
      <c r="AM347" t="s">
        <v>1</v>
      </c>
      <c r="AN347">
        <v>315</v>
      </c>
      <c r="AO347">
        <f t="shared" si="45"/>
        <v>315</v>
      </c>
      <c r="AP347">
        <f t="shared" si="47"/>
        <v>56</v>
      </c>
      <c r="AQ347">
        <f t="shared" si="48"/>
        <v>56</v>
      </c>
      <c r="AR347" s="26" t="s">
        <v>1355</v>
      </c>
      <c r="AS347" s="26" t="s">
        <v>1356</v>
      </c>
      <c r="AT347" t="s">
        <v>712</v>
      </c>
      <c r="AU347" t="s">
        <v>1</v>
      </c>
      <c r="AV347" t="s">
        <v>1</v>
      </c>
      <c r="AW347">
        <v>42.22</v>
      </c>
      <c r="AX347">
        <v>-82.73</v>
      </c>
      <c r="AY347" t="s">
        <v>737</v>
      </c>
      <c r="BA347" s="3">
        <v>2</v>
      </c>
      <c r="BB347" s="3"/>
      <c r="BC347" s="3"/>
      <c r="BD347" s="3"/>
      <c r="BE347" s="3"/>
      <c r="BF347">
        <v>1998</v>
      </c>
      <c r="BG347" s="24" t="s">
        <v>733</v>
      </c>
      <c r="BH347" s="24" t="s">
        <v>733</v>
      </c>
      <c r="BI347" s="24" t="s">
        <v>733</v>
      </c>
      <c r="BJ347" s="24" t="s">
        <v>732</v>
      </c>
      <c r="BK347" s="24" t="s">
        <v>733</v>
      </c>
      <c r="BL347" s="25" t="s">
        <v>733</v>
      </c>
      <c r="BM347" s="24" t="s">
        <v>733</v>
      </c>
      <c r="BN347" s="24" t="s">
        <v>732</v>
      </c>
      <c r="BO347" s="24" t="s">
        <v>733</v>
      </c>
      <c r="BP347" s="24" t="s">
        <v>733</v>
      </c>
      <c r="BQ347" s="24" t="s">
        <v>945</v>
      </c>
      <c r="BR347" s="24" t="s">
        <v>945</v>
      </c>
      <c r="BS347" s="25" t="s">
        <v>934</v>
      </c>
      <c r="BT347" s="24" t="s">
        <v>934</v>
      </c>
      <c r="BU347" s="24" t="s">
        <v>934</v>
      </c>
      <c r="BV347" s="24" t="s">
        <v>934</v>
      </c>
      <c r="BW347" s="24" t="s">
        <v>934</v>
      </c>
      <c r="BX347" s="24" t="s">
        <v>934</v>
      </c>
      <c r="BY347" s="25" t="s">
        <v>945</v>
      </c>
      <c r="BZ347" t="s">
        <v>5</v>
      </c>
      <c r="CB347" t="s">
        <v>1</v>
      </c>
      <c r="CC347" s="4">
        <f>AVERAGE(8.54,9.71)*1000*0.87</f>
        <v>7938.75</v>
      </c>
      <c r="CD347" s="4"/>
      <c r="CE347" s="4"/>
      <c r="CF347" t="s">
        <v>793</v>
      </c>
      <c r="CG347">
        <v>100</v>
      </c>
      <c r="CH347" t="s">
        <v>805</v>
      </c>
      <c r="CI347" s="1">
        <v>1</v>
      </c>
      <c r="CJ347" s="10" t="s">
        <v>1442</v>
      </c>
      <c r="CK347" s="9" t="s">
        <v>1</v>
      </c>
      <c r="CL347" s="4" t="s">
        <v>1</v>
      </c>
      <c r="CM347" s="4" t="s">
        <v>1</v>
      </c>
      <c r="CN347" s="4" t="s">
        <v>1</v>
      </c>
      <c r="CO347" s="4" t="s">
        <v>1</v>
      </c>
      <c r="CP347" s="4" t="s">
        <v>1</v>
      </c>
      <c r="CQ347" s="4" t="s">
        <v>1</v>
      </c>
      <c r="CR347" s="4" t="s">
        <v>1</v>
      </c>
      <c r="CS347" s="4" t="s">
        <v>1</v>
      </c>
      <c r="CT347" s="4" t="s">
        <v>1</v>
      </c>
      <c r="CU347" s="4" t="s">
        <v>1</v>
      </c>
      <c r="CV347" t="s">
        <v>850</v>
      </c>
      <c r="CW347">
        <v>100</v>
      </c>
      <c r="CX347">
        <v>0</v>
      </c>
      <c r="CY347">
        <v>30</v>
      </c>
      <c r="CZ347" s="26" t="s">
        <v>1358</v>
      </c>
      <c r="DA347" t="s">
        <v>734</v>
      </c>
      <c r="DB347">
        <v>30.2</v>
      </c>
      <c r="DC347">
        <v>0</v>
      </c>
      <c r="DD347">
        <v>30</v>
      </c>
      <c r="DE347" s="26" t="s">
        <v>1358</v>
      </c>
      <c r="DF347" t="s">
        <v>735</v>
      </c>
      <c r="DG347">
        <v>38.799999999999997</v>
      </c>
      <c r="DH347">
        <v>0</v>
      </c>
      <c r="DI347">
        <v>30</v>
      </c>
      <c r="DJ347" s="26" t="s">
        <v>1358</v>
      </c>
      <c r="DK347" t="s">
        <v>736</v>
      </c>
      <c r="DL347">
        <v>31</v>
      </c>
      <c r="DM347">
        <v>0</v>
      </c>
      <c r="DN347">
        <v>30</v>
      </c>
      <c r="DO347" s="26" t="s">
        <v>1358</v>
      </c>
      <c r="DP347" t="s">
        <v>1</v>
      </c>
      <c r="DQ347" t="s">
        <v>1</v>
      </c>
      <c r="DR347" t="s">
        <v>1</v>
      </c>
      <c r="DS347" t="s">
        <v>1</v>
      </c>
      <c r="DT347" t="s">
        <v>1</v>
      </c>
      <c r="DU347" t="s">
        <v>1</v>
      </c>
      <c r="EA347" t="s">
        <v>1</v>
      </c>
      <c r="EB347" t="s">
        <v>1</v>
      </c>
      <c r="EC347" t="s">
        <v>1</v>
      </c>
      <c r="ED347" t="s">
        <v>1</v>
      </c>
      <c r="EE347" t="s">
        <v>1</v>
      </c>
      <c r="FZ347" t="s">
        <v>806</v>
      </c>
      <c r="GA347">
        <v>676.5</v>
      </c>
      <c r="GE347" s="26" t="s">
        <v>1358</v>
      </c>
      <c r="HA347" s="5" t="s">
        <v>1</v>
      </c>
      <c r="HB347" s="4" t="s">
        <v>1</v>
      </c>
      <c r="HC347" t="s">
        <v>1</v>
      </c>
      <c r="HD347" t="s">
        <v>1</v>
      </c>
      <c r="HE347" t="s">
        <v>1</v>
      </c>
      <c r="HF347" s="5" t="s">
        <v>1</v>
      </c>
      <c r="HG347" s="4" t="s">
        <v>1</v>
      </c>
      <c r="HH347" t="s">
        <v>1</v>
      </c>
      <c r="HI347" t="s">
        <v>1</v>
      </c>
      <c r="HJ347" t="s">
        <v>1</v>
      </c>
      <c r="HK347" t="s">
        <v>1</v>
      </c>
      <c r="HL347" t="s">
        <v>1</v>
      </c>
      <c r="HM347" t="s">
        <v>1</v>
      </c>
      <c r="HN347" t="s">
        <v>1</v>
      </c>
      <c r="HO347" t="s">
        <v>1</v>
      </c>
      <c r="HP347" t="s">
        <v>1</v>
      </c>
      <c r="HZ347" t="s">
        <v>1295</v>
      </c>
      <c r="IA347">
        <v>200</v>
      </c>
      <c r="IB347" s="10" t="s">
        <v>822</v>
      </c>
      <c r="IC347" s="10"/>
      <c r="ID347" s="10"/>
      <c r="IE347" s="10" t="s">
        <v>1</v>
      </c>
      <c r="IF347" s="10" t="s">
        <v>1</v>
      </c>
      <c r="IG347" s="10"/>
      <c r="IH347" s="10"/>
      <c r="II347" s="10"/>
      <c r="IJ347" s="10"/>
      <c r="IK347" s="10"/>
      <c r="IL347" s="10"/>
      <c r="IM347" s="10"/>
      <c r="IN347" s="10"/>
      <c r="IO347" s="10"/>
      <c r="IP347" s="10"/>
      <c r="IQ347" s="10"/>
      <c r="IR347" s="10"/>
      <c r="IS347" t="s">
        <v>1</v>
      </c>
      <c r="IT347" t="s">
        <v>1</v>
      </c>
      <c r="IW347" t="s">
        <v>1</v>
      </c>
      <c r="IX347" t="s">
        <v>1</v>
      </c>
      <c r="IY347" t="s">
        <v>808</v>
      </c>
      <c r="IZ347">
        <v>901.5</v>
      </c>
      <c r="JA347" t="s">
        <v>1</v>
      </c>
      <c r="JB347" s="3" t="s">
        <v>1</v>
      </c>
      <c r="JC347" t="s">
        <v>1</v>
      </c>
      <c r="JD347" s="4" t="s">
        <v>1</v>
      </c>
      <c r="JE347" t="s">
        <v>811</v>
      </c>
      <c r="JF347">
        <v>100</v>
      </c>
      <c r="JR347" t="s">
        <v>1066</v>
      </c>
      <c r="JS347">
        <v>40.6</v>
      </c>
      <c r="JU347" t="s">
        <v>1</v>
      </c>
      <c r="JW347" t="s">
        <v>1</v>
      </c>
      <c r="JX347">
        <v>0</v>
      </c>
      <c r="JY347">
        <v>60</v>
      </c>
      <c r="JZ347" t="s">
        <v>797</v>
      </c>
      <c r="KA347" t="s">
        <v>147</v>
      </c>
      <c r="KB347" t="s">
        <v>738</v>
      </c>
      <c r="KC347" t="s">
        <v>1</v>
      </c>
      <c r="KD347" t="s">
        <v>1</v>
      </c>
      <c r="KE347" s="1" t="s">
        <v>1</v>
      </c>
      <c r="KF347" t="s">
        <v>1</v>
      </c>
      <c r="KG347" t="s">
        <v>1</v>
      </c>
      <c r="KH347" t="s">
        <v>1</v>
      </c>
      <c r="KI347" t="s">
        <v>1</v>
      </c>
      <c r="KJ347" t="s">
        <v>1</v>
      </c>
      <c r="KK347" t="s">
        <v>1</v>
      </c>
    </row>
    <row r="348" spans="1:297" x14ac:dyDescent="0.2">
      <c r="A348">
        <v>316</v>
      </c>
      <c r="B348" t="s">
        <v>705</v>
      </c>
      <c r="C348" t="s">
        <v>1334</v>
      </c>
      <c r="D348" t="s">
        <v>394</v>
      </c>
      <c r="E348">
        <v>57</v>
      </c>
      <c r="F348" t="s">
        <v>395</v>
      </c>
      <c r="G348" t="s">
        <v>1</v>
      </c>
      <c r="H348" s="26" t="s">
        <v>1420</v>
      </c>
      <c r="I348" t="s">
        <v>1</v>
      </c>
      <c r="J348" t="s">
        <v>1</v>
      </c>
      <c r="K348" t="s">
        <v>1</v>
      </c>
      <c r="L348" t="s">
        <v>1</v>
      </c>
      <c r="M348" t="s">
        <v>1</v>
      </c>
      <c r="N348" t="s">
        <v>1</v>
      </c>
      <c r="O348" t="s">
        <v>1</v>
      </c>
      <c r="P348" t="s">
        <v>1</v>
      </c>
      <c r="Q348" t="s">
        <v>1</v>
      </c>
      <c r="R348" t="s">
        <v>1</v>
      </c>
      <c r="S348" t="s">
        <v>1</v>
      </c>
      <c r="T348" t="s">
        <v>1</v>
      </c>
      <c r="U348" t="s">
        <v>1</v>
      </c>
      <c r="V348" t="s">
        <v>1</v>
      </c>
      <c r="W348" t="s">
        <v>1</v>
      </c>
      <c r="X348" t="s">
        <v>1</v>
      </c>
      <c r="Y348" t="s">
        <v>1</v>
      </c>
      <c r="Z348" t="s">
        <v>1</v>
      </c>
      <c r="AA348" t="s">
        <v>1</v>
      </c>
      <c r="AB348" t="s">
        <v>1</v>
      </c>
      <c r="AC348" t="s">
        <v>1</v>
      </c>
      <c r="AD348" t="s">
        <v>1</v>
      </c>
      <c r="AE348" t="s">
        <v>1</v>
      </c>
      <c r="AF348" t="s">
        <v>1</v>
      </c>
      <c r="AG348" t="s">
        <v>1</v>
      </c>
      <c r="AH348" t="s">
        <v>1</v>
      </c>
      <c r="AI348" t="s">
        <v>1</v>
      </c>
      <c r="AJ348" t="s">
        <v>1</v>
      </c>
      <c r="AK348" t="s">
        <v>1</v>
      </c>
      <c r="AL348" t="s">
        <v>1</v>
      </c>
      <c r="AM348" t="s">
        <v>1</v>
      </c>
      <c r="AN348">
        <v>316</v>
      </c>
      <c r="AO348">
        <f t="shared" si="45"/>
        <v>316</v>
      </c>
      <c r="AP348">
        <f t="shared" si="47"/>
        <v>57</v>
      </c>
      <c r="AQ348">
        <f t="shared" si="48"/>
        <v>57</v>
      </c>
      <c r="AR348" s="26" t="s">
        <v>1355</v>
      </c>
      <c r="AS348" s="26" t="s">
        <v>1356</v>
      </c>
      <c r="AT348" t="s">
        <v>710</v>
      </c>
      <c r="AU348" t="s">
        <v>1</v>
      </c>
      <c r="AV348" t="s">
        <v>1</v>
      </c>
      <c r="AW348">
        <v>29.92</v>
      </c>
      <c r="AX348">
        <v>115.5</v>
      </c>
      <c r="AY348" t="s">
        <v>737</v>
      </c>
      <c r="BA348" s="3">
        <v>3</v>
      </c>
      <c r="BB348" s="3"/>
      <c r="BC348" s="3"/>
      <c r="BD348" s="3"/>
      <c r="BE348" s="3"/>
      <c r="BF348">
        <v>2009</v>
      </c>
      <c r="BG348" s="24" t="s">
        <v>733</v>
      </c>
      <c r="BH348" s="24" t="s">
        <v>733</v>
      </c>
      <c r="BI348" s="24" t="s">
        <v>733</v>
      </c>
      <c r="BJ348" s="24" t="s">
        <v>732</v>
      </c>
      <c r="BK348" s="24" t="s">
        <v>733</v>
      </c>
      <c r="BL348" s="25" t="s">
        <v>733</v>
      </c>
      <c r="BM348" s="24" t="s">
        <v>733</v>
      </c>
      <c r="BN348" s="24" t="s">
        <v>732</v>
      </c>
      <c r="BO348" s="24" t="s">
        <v>733</v>
      </c>
      <c r="BP348" s="24" t="s">
        <v>733</v>
      </c>
      <c r="BQ348" s="24" t="s">
        <v>945</v>
      </c>
      <c r="BR348" s="24" t="s">
        <v>945</v>
      </c>
      <c r="BS348" s="25" t="s">
        <v>934</v>
      </c>
      <c r="BT348" s="24" t="s">
        <v>934</v>
      </c>
      <c r="BU348" s="24" t="s">
        <v>934</v>
      </c>
      <c r="BV348" s="24" t="s">
        <v>934</v>
      </c>
      <c r="BW348" s="24" t="s">
        <v>934</v>
      </c>
      <c r="BX348" s="24" t="s">
        <v>934</v>
      </c>
      <c r="BY348" s="25" t="s">
        <v>945</v>
      </c>
      <c r="BZ348" t="s">
        <v>1410</v>
      </c>
      <c r="CB348" t="s">
        <v>118</v>
      </c>
      <c r="CC348" s="4">
        <f>AVERAGE(6521,6503)*86%</f>
        <v>5600.32</v>
      </c>
      <c r="CD348" s="4"/>
      <c r="CE348" s="4"/>
      <c r="CF348" t="s">
        <v>793</v>
      </c>
      <c r="CG348">
        <v>100</v>
      </c>
      <c r="CH348" t="s">
        <v>805</v>
      </c>
      <c r="CI348" s="1">
        <v>0.1</v>
      </c>
      <c r="CJ348" s="9" t="s">
        <v>1</v>
      </c>
      <c r="CK348" s="9" t="s">
        <v>1</v>
      </c>
      <c r="CL348" s="4" t="s">
        <v>1</v>
      </c>
      <c r="CM348" s="4" t="s">
        <v>1</v>
      </c>
      <c r="CN348" s="4" t="s">
        <v>1</v>
      </c>
      <c r="CO348" s="4" t="s">
        <v>1</v>
      </c>
      <c r="CP348" s="4" t="s">
        <v>1</v>
      </c>
      <c r="CQ348" s="4" t="s">
        <v>1</v>
      </c>
      <c r="CR348" s="4" t="s">
        <v>1</v>
      </c>
      <c r="CS348" s="4" t="s">
        <v>1</v>
      </c>
      <c r="CT348" s="4" t="s">
        <v>1</v>
      </c>
      <c r="CU348" s="4" t="s">
        <v>1</v>
      </c>
      <c r="CV348" s="37" t="s">
        <v>857</v>
      </c>
      <c r="CW348">
        <v>100</v>
      </c>
      <c r="CX348">
        <v>0</v>
      </c>
      <c r="CY348">
        <v>20</v>
      </c>
      <c r="CZ348" s="26" t="s">
        <v>1358</v>
      </c>
      <c r="DA348" t="s">
        <v>734</v>
      </c>
      <c r="DB348">
        <v>3</v>
      </c>
      <c r="DC348">
        <v>0</v>
      </c>
      <c r="DD348">
        <v>20</v>
      </c>
      <c r="DE348" s="26" t="s">
        <v>1358</v>
      </c>
      <c r="DF348" t="s">
        <v>735</v>
      </c>
      <c r="DG348">
        <v>50</v>
      </c>
      <c r="DH348">
        <v>0</v>
      </c>
      <c r="DI348">
        <v>20</v>
      </c>
      <c r="DJ348" s="26" t="s">
        <v>1358</v>
      </c>
      <c r="DK348" t="s">
        <v>736</v>
      </c>
      <c r="DL348">
        <v>47</v>
      </c>
      <c r="DM348">
        <v>0</v>
      </c>
      <c r="DN348">
        <v>20</v>
      </c>
      <c r="DO348" s="26" t="s">
        <v>1358</v>
      </c>
      <c r="DP348" t="s">
        <v>6</v>
      </c>
      <c r="DQ348" t="s">
        <v>1</v>
      </c>
      <c r="DR348">
        <v>5.4</v>
      </c>
      <c r="DS348">
        <v>0</v>
      </c>
      <c r="DT348">
        <v>20</v>
      </c>
      <c r="DU348" s="26" t="s">
        <v>1358</v>
      </c>
      <c r="EA348" t="s">
        <v>982</v>
      </c>
      <c r="EB348">
        <v>19.399999999999999</v>
      </c>
      <c r="EC348">
        <v>0</v>
      </c>
      <c r="ED348">
        <v>20</v>
      </c>
      <c r="EE348" s="26" t="s">
        <v>1358</v>
      </c>
      <c r="EF348" s="26"/>
      <c r="FZ348" t="s">
        <v>806</v>
      </c>
      <c r="GA348">
        <v>533.25</v>
      </c>
      <c r="GE348" s="26" t="s">
        <v>1358</v>
      </c>
      <c r="HA348" s="5" t="s">
        <v>1</v>
      </c>
      <c r="HB348" s="4" t="s">
        <v>1</v>
      </c>
      <c r="HC348" t="s">
        <v>1</v>
      </c>
      <c r="HD348" t="s">
        <v>1</v>
      </c>
      <c r="HE348" t="s">
        <v>1</v>
      </c>
      <c r="HF348" s="5" t="s">
        <v>1063</v>
      </c>
      <c r="HG348" s="4">
        <v>2.54</v>
      </c>
      <c r="HH348">
        <v>0</v>
      </c>
      <c r="HI348">
        <v>20</v>
      </c>
      <c r="HJ348" s="26" t="s">
        <v>1358</v>
      </c>
      <c r="HK348" t="s">
        <v>815</v>
      </c>
      <c r="HL348">
        <v>1.31</v>
      </c>
      <c r="HM348">
        <v>0</v>
      </c>
      <c r="HN348">
        <v>20</v>
      </c>
      <c r="HO348" t="s">
        <v>1</v>
      </c>
      <c r="HP348" s="26" t="s">
        <v>1358</v>
      </c>
      <c r="HZ348" t="s">
        <v>1</v>
      </c>
      <c r="IA348" t="s">
        <v>1</v>
      </c>
      <c r="IB348" s="10" t="s">
        <v>1</v>
      </c>
      <c r="IC348" s="10"/>
      <c r="ID348" s="10"/>
      <c r="IE348" s="10" t="s">
        <v>1</v>
      </c>
      <c r="IF348" s="10" t="s">
        <v>1</v>
      </c>
      <c r="IG348" s="10"/>
      <c r="IH348" s="10"/>
      <c r="II348" s="10"/>
      <c r="IJ348" s="10"/>
      <c r="IK348" s="10"/>
      <c r="IL348" s="10"/>
      <c r="IM348" s="10"/>
      <c r="IN348" s="10"/>
      <c r="IO348" s="10"/>
      <c r="IP348" s="10"/>
      <c r="IQ348" s="10"/>
      <c r="IR348" s="10"/>
      <c r="IS348" t="s">
        <v>1</v>
      </c>
      <c r="IT348" t="s">
        <v>1</v>
      </c>
      <c r="IW348" t="s">
        <v>1</v>
      </c>
      <c r="IX348" t="s">
        <v>1</v>
      </c>
      <c r="IY348" t="s">
        <v>808</v>
      </c>
      <c r="IZ348">
        <v>4170</v>
      </c>
      <c r="JA348" t="s">
        <v>1</v>
      </c>
      <c r="JB348" s="3" t="s">
        <v>1</v>
      </c>
      <c r="JC348" t="s">
        <v>1</v>
      </c>
      <c r="JD348" s="4" t="s">
        <v>1</v>
      </c>
      <c r="JE348" t="s">
        <v>811</v>
      </c>
      <c r="JF348">
        <v>100</v>
      </c>
      <c r="JR348" t="s">
        <v>1066</v>
      </c>
      <c r="JS348">
        <v>4.5999999999999996</v>
      </c>
      <c r="JU348" t="s">
        <v>1</v>
      </c>
      <c r="JW348" t="s">
        <v>1</v>
      </c>
      <c r="JX348">
        <v>0</v>
      </c>
      <c r="JY348">
        <v>35</v>
      </c>
      <c r="JZ348" t="s">
        <v>800</v>
      </c>
      <c r="KA348" t="s">
        <v>396</v>
      </c>
      <c r="KB348" t="s">
        <v>738</v>
      </c>
      <c r="KC348" t="s">
        <v>1067</v>
      </c>
      <c r="KD348" s="28">
        <f>AVERAGE(0.94,0.92)</f>
        <v>0.92999999999999994</v>
      </c>
      <c r="KE348" s="1" t="s">
        <v>1</v>
      </c>
      <c r="KF348" s="11" t="s">
        <v>1</v>
      </c>
      <c r="KG348">
        <v>0</v>
      </c>
      <c r="KH348">
        <v>35</v>
      </c>
      <c r="KI348" t="s">
        <v>800</v>
      </c>
      <c r="KJ348" t="s">
        <v>396</v>
      </c>
      <c r="KK348" t="s">
        <v>738</v>
      </c>
    </row>
    <row r="349" spans="1:297" x14ac:dyDescent="0.2">
      <c r="A349">
        <v>317</v>
      </c>
      <c r="B349" t="s">
        <v>705</v>
      </c>
      <c r="C349" t="s">
        <v>1335</v>
      </c>
      <c r="D349" t="s">
        <v>394</v>
      </c>
      <c r="E349">
        <v>57</v>
      </c>
      <c r="F349" t="s">
        <v>395</v>
      </c>
      <c r="G349" t="s">
        <v>1</v>
      </c>
      <c r="H349" s="26" t="s">
        <v>1420</v>
      </c>
      <c r="I349" t="s">
        <v>1</v>
      </c>
      <c r="J349" t="s">
        <v>1</v>
      </c>
      <c r="K349" t="s">
        <v>1</v>
      </c>
      <c r="L349" t="s">
        <v>1</v>
      </c>
      <c r="M349" t="s">
        <v>1</v>
      </c>
      <c r="N349" t="s">
        <v>1</v>
      </c>
      <c r="O349" t="s">
        <v>1</v>
      </c>
      <c r="P349" t="s">
        <v>1</v>
      </c>
      <c r="Q349" t="s">
        <v>1</v>
      </c>
      <c r="R349" t="s">
        <v>1</v>
      </c>
      <c r="S349" t="s">
        <v>1</v>
      </c>
      <c r="T349" t="s">
        <v>1</v>
      </c>
      <c r="U349" t="s">
        <v>1</v>
      </c>
      <c r="V349" t="s">
        <v>1</v>
      </c>
      <c r="W349" t="s">
        <v>1</v>
      </c>
      <c r="X349" t="s">
        <v>1</v>
      </c>
      <c r="Y349" t="s">
        <v>1</v>
      </c>
      <c r="Z349" t="s">
        <v>1</v>
      </c>
      <c r="AA349" t="s">
        <v>1</v>
      </c>
      <c r="AB349" t="s">
        <v>1</v>
      </c>
      <c r="AC349" t="s">
        <v>1</v>
      </c>
      <c r="AD349" t="s">
        <v>1</v>
      </c>
      <c r="AE349" t="s">
        <v>1</v>
      </c>
      <c r="AF349" t="s">
        <v>1</v>
      </c>
      <c r="AG349" t="s">
        <v>1</v>
      </c>
      <c r="AH349" t="s">
        <v>1</v>
      </c>
      <c r="AI349" t="s">
        <v>1</v>
      </c>
      <c r="AJ349" t="s">
        <v>1</v>
      </c>
      <c r="AK349" t="s">
        <v>1</v>
      </c>
      <c r="AL349" t="s">
        <v>1</v>
      </c>
      <c r="AM349" t="s">
        <v>1</v>
      </c>
      <c r="AN349">
        <v>317</v>
      </c>
      <c r="AO349">
        <f t="shared" si="45"/>
        <v>317</v>
      </c>
      <c r="AP349">
        <f t="shared" si="47"/>
        <v>57</v>
      </c>
      <c r="AQ349">
        <f t="shared" si="48"/>
        <v>57</v>
      </c>
      <c r="AR349" s="26" t="s">
        <v>1355</v>
      </c>
      <c r="AS349" s="26" t="s">
        <v>1356</v>
      </c>
      <c r="AT349" t="s">
        <v>710</v>
      </c>
      <c r="AU349" t="s">
        <v>1</v>
      </c>
      <c r="AV349" t="s">
        <v>1</v>
      </c>
      <c r="AW349">
        <v>29.92</v>
      </c>
      <c r="AX349">
        <v>115.5</v>
      </c>
      <c r="AY349" t="s">
        <v>737</v>
      </c>
      <c r="BA349" s="3">
        <v>3</v>
      </c>
      <c r="BB349" s="3"/>
      <c r="BC349" s="3"/>
      <c r="BD349" s="3"/>
      <c r="BE349" s="3"/>
      <c r="BF349">
        <v>2009</v>
      </c>
      <c r="BG349" s="24" t="s">
        <v>733</v>
      </c>
      <c r="BH349" s="24" t="s">
        <v>733</v>
      </c>
      <c r="BI349" s="24" t="s">
        <v>733</v>
      </c>
      <c r="BJ349" s="24" t="s">
        <v>732</v>
      </c>
      <c r="BK349" s="24" t="s">
        <v>733</v>
      </c>
      <c r="BL349" s="25" t="s">
        <v>733</v>
      </c>
      <c r="BM349" s="24" t="s">
        <v>733</v>
      </c>
      <c r="BN349" s="24" t="s">
        <v>732</v>
      </c>
      <c r="BO349" s="24" t="s">
        <v>733</v>
      </c>
      <c r="BP349" s="24" t="s">
        <v>733</v>
      </c>
      <c r="BQ349" s="24" t="s">
        <v>945</v>
      </c>
      <c r="BR349" s="24" t="s">
        <v>945</v>
      </c>
      <c r="BS349" s="25" t="s">
        <v>934</v>
      </c>
      <c r="BT349" s="24" t="s">
        <v>934</v>
      </c>
      <c r="BU349" s="24" t="s">
        <v>934</v>
      </c>
      <c r="BV349" s="24" t="s">
        <v>934</v>
      </c>
      <c r="BW349" s="24" t="s">
        <v>934</v>
      </c>
      <c r="BX349" s="24" t="s">
        <v>934</v>
      </c>
      <c r="BY349" s="25" t="s">
        <v>945</v>
      </c>
      <c r="BZ349" t="s">
        <v>1410</v>
      </c>
      <c r="CB349" t="s">
        <v>118</v>
      </c>
      <c r="CC349" s="4">
        <f>AVERAGE(6556,6713)*86%</f>
        <v>5705.67</v>
      </c>
      <c r="CD349" s="4"/>
      <c r="CE349" s="4"/>
      <c r="CF349" t="s">
        <v>793</v>
      </c>
      <c r="CG349">
        <v>100</v>
      </c>
      <c r="CH349" t="s">
        <v>805</v>
      </c>
      <c r="CI349" s="1">
        <v>0.1</v>
      </c>
      <c r="CJ349" s="9" t="s">
        <v>1</v>
      </c>
      <c r="CK349" s="9" t="s">
        <v>1</v>
      </c>
      <c r="CL349" s="4" t="s">
        <v>1</v>
      </c>
      <c r="CM349" s="4" t="s">
        <v>1</v>
      </c>
      <c r="CN349" s="4" t="s">
        <v>1</v>
      </c>
      <c r="CO349" s="4" t="s">
        <v>1</v>
      </c>
      <c r="CP349" s="4" t="s">
        <v>1</v>
      </c>
      <c r="CQ349" s="4" t="s">
        <v>1</v>
      </c>
      <c r="CR349" s="4" t="s">
        <v>1</v>
      </c>
      <c r="CS349" s="4" t="s">
        <v>1</v>
      </c>
      <c r="CT349" s="4" t="s">
        <v>1</v>
      </c>
      <c r="CU349" s="4" t="s">
        <v>1</v>
      </c>
      <c r="CV349" s="37" t="s">
        <v>857</v>
      </c>
      <c r="CW349">
        <v>100</v>
      </c>
      <c r="CX349">
        <v>0</v>
      </c>
      <c r="CY349">
        <v>20</v>
      </c>
      <c r="CZ349" s="26" t="s">
        <v>1358</v>
      </c>
      <c r="DA349" t="s">
        <v>734</v>
      </c>
      <c r="DB349">
        <v>3</v>
      </c>
      <c r="DC349">
        <v>0</v>
      </c>
      <c r="DD349">
        <v>20</v>
      </c>
      <c r="DE349" s="26" t="s">
        <v>1358</v>
      </c>
      <c r="DF349" t="s">
        <v>735</v>
      </c>
      <c r="DG349">
        <v>50</v>
      </c>
      <c r="DH349">
        <v>0</v>
      </c>
      <c r="DI349">
        <v>20</v>
      </c>
      <c r="DJ349" s="26" t="s">
        <v>1358</v>
      </c>
      <c r="DK349" t="s">
        <v>736</v>
      </c>
      <c r="DL349">
        <v>47</v>
      </c>
      <c r="DM349">
        <v>0</v>
      </c>
      <c r="DN349">
        <v>20</v>
      </c>
      <c r="DO349" s="26" t="s">
        <v>1358</v>
      </c>
      <c r="DP349" t="s">
        <v>6</v>
      </c>
      <c r="DQ349" t="s">
        <v>1</v>
      </c>
      <c r="DR349">
        <v>5.9</v>
      </c>
      <c r="DS349">
        <v>0</v>
      </c>
      <c r="DT349">
        <v>20</v>
      </c>
      <c r="DU349" s="26" t="s">
        <v>1358</v>
      </c>
      <c r="EA349" t="s">
        <v>982</v>
      </c>
      <c r="EB349">
        <v>15.700000000000001</v>
      </c>
      <c r="EC349">
        <v>0</v>
      </c>
      <c r="ED349">
        <v>20</v>
      </c>
      <c r="EE349" s="26" t="s">
        <v>1358</v>
      </c>
      <c r="EF349" s="26"/>
      <c r="FZ349" t="s">
        <v>806</v>
      </c>
      <c r="GA349">
        <v>533.25</v>
      </c>
      <c r="GE349" s="26" t="s">
        <v>1358</v>
      </c>
      <c r="HA349" s="5" t="s">
        <v>1</v>
      </c>
      <c r="HB349" s="4" t="s">
        <v>1</v>
      </c>
      <c r="HC349" t="s">
        <v>1</v>
      </c>
      <c r="HD349" t="s">
        <v>1</v>
      </c>
      <c r="HE349" t="s">
        <v>1</v>
      </c>
      <c r="HF349" s="5" t="s">
        <v>1063</v>
      </c>
      <c r="HG349" s="4">
        <v>2.48</v>
      </c>
      <c r="HH349">
        <v>0</v>
      </c>
      <c r="HI349">
        <v>20</v>
      </c>
      <c r="HJ349" s="26" t="s">
        <v>1358</v>
      </c>
      <c r="HK349" t="s">
        <v>815</v>
      </c>
      <c r="HL349">
        <v>1.28</v>
      </c>
      <c r="HM349">
        <v>0</v>
      </c>
      <c r="HN349">
        <v>20</v>
      </c>
      <c r="HO349" t="s">
        <v>1</v>
      </c>
      <c r="HP349" s="26" t="s">
        <v>1358</v>
      </c>
      <c r="HZ349" t="s">
        <v>1</v>
      </c>
      <c r="IA349" t="s">
        <v>1</v>
      </c>
      <c r="IB349" s="10" t="s">
        <v>1</v>
      </c>
      <c r="IC349" s="10"/>
      <c r="ID349" s="10"/>
      <c r="IE349" s="10" t="s">
        <v>1</v>
      </c>
      <c r="IF349" s="10" t="s">
        <v>1</v>
      </c>
      <c r="IG349" s="10"/>
      <c r="IH349" s="10"/>
      <c r="II349" s="10"/>
      <c r="IJ349" s="10"/>
      <c r="IK349" s="10"/>
      <c r="IL349" s="10"/>
      <c r="IM349" s="10"/>
      <c r="IN349" s="10"/>
      <c r="IO349" s="10"/>
      <c r="IP349" s="10"/>
      <c r="IQ349" s="10"/>
      <c r="IR349" s="10"/>
      <c r="IS349" t="s">
        <v>1</v>
      </c>
      <c r="IT349" t="s">
        <v>1</v>
      </c>
      <c r="IW349" t="s">
        <v>1</v>
      </c>
      <c r="IX349" t="s">
        <v>1</v>
      </c>
      <c r="IY349" t="s">
        <v>808</v>
      </c>
      <c r="IZ349">
        <v>4170</v>
      </c>
      <c r="JA349" t="s">
        <v>1</v>
      </c>
      <c r="JB349" s="3" t="s">
        <v>1</v>
      </c>
      <c r="JC349" t="s">
        <v>1</v>
      </c>
      <c r="JD349" s="4" t="s">
        <v>1</v>
      </c>
      <c r="JE349" t="s">
        <v>810</v>
      </c>
      <c r="JF349">
        <v>100</v>
      </c>
      <c r="JR349" t="s">
        <v>1066</v>
      </c>
      <c r="JS349">
        <v>4.5999999999999996</v>
      </c>
      <c r="JU349" t="s">
        <v>1</v>
      </c>
      <c r="JW349" t="s">
        <v>1</v>
      </c>
      <c r="JX349">
        <v>0</v>
      </c>
      <c r="JY349">
        <v>35</v>
      </c>
      <c r="JZ349" t="s">
        <v>800</v>
      </c>
      <c r="KA349" t="s">
        <v>396</v>
      </c>
      <c r="KB349" t="s">
        <v>738</v>
      </c>
      <c r="KC349" t="s">
        <v>1067</v>
      </c>
      <c r="KD349" s="28">
        <f>AVERAGE(1.04,0.88)</f>
        <v>0.96</v>
      </c>
      <c r="KE349" s="1" t="s">
        <v>1</v>
      </c>
      <c r="KF349" s="11" t="s">
        <v>1</v>
      </c>
      <c r="KG349">
        <v>0</v>
      </c>
      <c r="KH349">
        <v>35</v>
      </c>
      <c r="KI349" t="s">
        <v>800</v>
      </c>
      <c r="KJ349" t="s">
        <v>396</v>
      </c>
      <c r="KK349" t="s">
        <v>738</v>
      </c>
    </row>
    <row r="350" spans="1:297" x14ac:dyDescent="0.2">
      <c r="A350">
        <v>318</v>
      </c>
      <c r="B350" t="s">
        <v>705</v>
      </c>
      <c r="C350" t="s">
        <v>1336</v>
      </c>
      <c r="D350" t="s">
        <v>394</v>
      </c>
      <c r="E350">
        <v>57</v>
      </c>
      <c r="F350" t="s">
        <v>395</v>
      </c>
      <c r="G350" t="s">
        <v>1</v>
      </c>
      <c r="H350" s="26" t="s">
        <v>1420</v>
      </c>
      <c r="I350" t="s">
        <v>1</v>
      </c>
      <c r="J350" t="s">
        <v>1</v>
      </c>
      <c r="K350" t="s">
        <v>1</v>
      </c>
      <c r="L350" t="s">
        <v>1</v>
      </c>
      <c r="M350" t="s">
        <v>1</v>
      </c>
      <c r="N350" t="s">
        <v>1</v>
      </c>
      <c r="O350" t="s">
        <v>1</v>
      </c>
      <c r="P350" t="s">
        <v>1</v>
      </c>
      <c r="Q350" t="s">
        <v>1</v>
      </c>
      <c r="R350" t="s">
        <v>1</v>
      </c>
      <c r="S350" t="s">
        <v>1</v>
      </c>
      <c r="T350" t="s">
        <v>1</v>
      </c>
      <c r="U350" t="s">
        <v>1</v>
      </c>
      <c r="V350" t="s">
        <v>1</v>
      </c>
      <c r="W350" t="s">
        <v>1</v>
      </c>
      <c r="X350" t="s">
        <v>1</v>
      </c>
      <c r="Y350" t="s">
        <v>1</v>
      </c>
      <c r="Z350" t="s">
        <v>1</v>
      </c>
      <c r="AA350" t="s">
        <v>1</v>
      </c>
      <c r="AB350" t="s">
        <v>1</v>
      </c>
      <c r="AC350" t="s">
        <v>1</v>
      </c>
      <c r="AD350" t="s">
        <v>1</v>
      </c>
      <c r="AE350" t="s">
        <v>1</v>
      </c>
      <c r="AF350" t="s">
        <v>1</v>
      </c>
      <c r="AG350" t="s">
        <v>1</v>
      </c>
      <c r="AH350" t="s">
        <v>1</v>
      </c>
      <c r="AI350" t="s">
        <v>1</v>
      </c>
      <c r="AJ350" t="s">
        <v>1</v>
      </c>
      <c r="AK350" t="s">
        <v>1</v>
      </c>
      <c r="AL350" t="s">
        <v>1</v>
      </c>
      <c r="AM350" t="s">
        <v>1</v>
      </c>
      <c r="AN350">
        <v>318</v>
      </c>
      <c r="AO350">
        <f t="shared" si="45"/>
        <v>318</v>
      </c>
      <c r="AP350">
        <f t="shared" si="47"/>
        <v>57</v>
      </c>
      <c r="AQ350">
        <f t="shared" si="48"/>
        <v>57</v>
      </c>
      <c r="AR350" s="26" t="s">
        <v>1355</v>
      </c>
      <c r="AS350" s="26" t="s">
        <v>1356</v>
      </c>
      <c r="AT350" t="s">
        <v>710</v>
      </c>
      <c r="AU350" t="s">
        <v>1</v>
      </c>
      <c r="AV350" t="s">
        <v>1</v>
      </c>
      <c r="AW350">
        <v>29.92</v>
      </c>
      <c r="AX350">
        <v>115.5</v>
      </c>
      <c r="AY350" t="s">
        <v>737</v>
      </c>
      <c r="BA350" s="3">
        <v>3</v>
      </c>
      <c r="BB350" s="3"/>
      <c r="BC350" s="3"/>
      <c r="BD350" s="3"/>
      <c r="BE350" s="3"/>
      <c r="BF350">
        <v>2009</v>
      </c>
      <c r="BG350" s="24" t="s">
        <v>733</v>
      </c>
      <c r="BH350" s="24" t="s">
        <v>733</v>
      </c>
      <c r="BI350" s="24" t="s">
        <v>733</v>
      </c>
      <c r="BJ350" s="24" t="s">
        <v>732</v>
      </c>
      <c r="BK350" s="24" t="s">
        <v>733</v>
      </c>
      <c r="BL350" s="25" t="s">
        <v>733</v>
      </c>
      <c r="BM350" s="24" t="s">
        <v>733</v>
      </c>
      <c r="BN350" s="24" t="s">
        <v>732</v>
      </c>
      <c r="BO350" s="24" t="s">
        <v>733</v>
      </c>
      <c r="BP350" s="24" t="s">
        <v>733</v>
      </c>
      <c r="BQ350" s="24" t="s">
        <v>945</v>
      </c>
      <c r="BR350" s="24" t="s">
        <v>945</v>
      </c>
      <c r="BS350" s="25" t="s">
        <v>934</v>
      </c>
      <c r="BT350" s="24" t="s">
        <v>934</v>
      </c>
      <c r="BU350" s="24" t="s">
        <v>934</v>
      </c>
      <c r="BV350" s="24" t="s">
        <v>934</v>
      </c>
      <c r="BW350" s="24" t="s">
        <v>934</v>
      </c>
      <c r="BX350" s="24" t="s">
        <v>934</v>
      </c>
      <c r="BY350" s="25" t="s">
        <v>945</v>
      </c>
      <c r="BZ350" t="s">
        <v>1410</v>
      </c>
      <c r="CB350" t="s">
        <v>118</v>
      </c>
      <c r="CC350" s="4">
        <f>AVERAGE(8090,7830)*86%</f>
        <v>6845.5999999999995</v>
      </c>
      <c r="CD350" s="4"/>
      <c r="CE350" s="4"/>
      <c r="CF350" t="s">
        <v>793</v>
      </c>
      <c r="CG350">
        <v>100</v>
      </c>
      <c r="CH350" t="s">
        <v>805</v>
      </c>
      <c r="CI350" s="1">
        <v>0.1</v>
      </c>
      <c r="CJ350" s="9" t="s">
        <v>1</v>
      </c>
      <c r="CK350" s="9" t="s">
        <v>1</v>
      </c>
      <c r="CL350" s="4" t="s">
        <v>1</v>
      </c>
      <c r="CM350" s="4" t="s">
        <v>1</v>
      </c>
      <c r="CN350" s="4" t="s">
        <v>1</v>
      </c>
      <c r="CO350" s="4" t="s">
        <v>1</v>
      </c>
      <c r="CP350" s="4" t="s">
        <v>1</v>
      </c>
      <c r="CQ350" s="4" t="s">
        <v>1</v>
      </c>
      <c r="CR350" s="4" t="s">
        <v>1</v>
      </c>
      <c r="CS350" s="4" t="s">
        <v>1</v>
      </c>
      <c r="CT350" s="4" t="s">
        <v>1</v>
      </c>
      <c r="CU350" s="4" t="s">
        <v>1</v>
      </c>
      <c r="CV350" s="37" t="s">
        <v>857</v>
      </c>
      <c r="CW350">
        <v>100</v>
      </c>
      <c r="CX350">
        <v>0</v>
      </c>
      <c r="CY350">
        <v>20</v>
      </c>
      <c r="CZ350" s="26" t="s">
        <v>1358</v>
      </c>
      <c r="DA350" t="s">
        <v>734</v>
      </c>
      <c r="DB350">
        <v>3</v>
      </c>
      <c r="DC350">
        <v>0</v>
      </c>
      <c r="DD350">
        <v>20</v>
      </c>
      <c r="DE350" s="26" t="s">
        <v>1358</v>
      </c>
      <c r="DF350" t="s">
        <v>735</v>
      </c>
      <c r="DG350">
        <v>50</v>
      </c>
      <c r="DH350">
        <v>0</v>
      </c>
      <c r="DI350">
        <v>20</v>
      </c>
      <c r="DJ350" s="26" t="s">
        <v>1358</v>
      </c>
      <c r="DK350" t="s">
        <v>736</v>
      </c>
      <c r="DL350">
        <v>47</v>
      </c>
      <c r="DM350">
        <v>0</v>
      </c>
      <c r="DN350">
        <v>20</v>
      </c>
      <c r="DO350" s="26" t="s">
        <v>1358</v>
      </c>
      <c r="DP350" t="s">
        <v>6</v>
      </c>
      <c r="DQ350" t="s">
        <v>1</v>
      </c>
      <c r="DR350">
        <v>5.4</v>
      </c>
      <c r="DS350">
        <v>0</v>
      </c>
      <c r="DT350">
        <v>20</v>
      </c>
      <c r="DU350" s="26" t="s">
        <v>1358</v>
      </c>
      <c r="EA350" t="s">
        <v>982</v>
      </c>
      <c r="EB350">
        <v>19.399999999999999</v>
      </c>
      <c r="EC350">
        <v>0</v>
      </c>
      <c r="ED350">
        <v>20</v>
      </c>
      <c r="EE350" s="26" t="s">
        <v>1358</v>
      </c>
      <c r="EF350" s="26"/>
      <c r="FZ350" t="s">
        <v>806</v>
      </c>
      <c r="GA350">
        <v>533.25</v>
      </c>
      <c r="GE350" s="26" t="s">
        <v>1358</v>
      </c>
      <c r="HA350" s="5" t="s">
        <v>1</v>
      </c>
      <c r="HB350" s="4" t="s">
        <v>1</v>
      </c>
      <c r="HC350" t="s">
        <v>1</v>
      </c>
      <c r="HD350" t="s">
        <v>1</v>
      </c>
      <c r="HE350" t="s">
        <v>1</v>
      </c>
      <c r="HF350" s="5" t="s">
        <v>1063</v>
      </c>
      <c r="HG350" s="4">
        <v>2.54</v>
      </c>
      <c r="HH350">
        <v>0</v>
      </c>
      <c r="HI350">
        <v>20</v>
      </c>
      <c r="HJ350" s="26" t="s">
        <v>1358</v>
      </c>
      <c r="HK350" t="s">
        <v>815</v>
      </c>
      <c r="HL350">
        <v>1.31</v>
      </c>
      <c r="HM350">
        <v>0</v>
      </c>
      <c r="HN350">
        <v>20</v>
      </c>
      <c r="HO350" t="s">
        <v>1</v>
      </c>
      <c r="HP350" s="26" t="s">
        <v>1358</v>
      </c>
      <c r="HZ350" t="s">
        <v>1295</v>
      </c>
      <c r="IA350">
        <v>210</v>
      </c>
      <c r="IB350" s="10" t="s">
        <v>822</v>
      </c>
      <c r="IC350" s="10"/>
      <c r="ID350" s="10"/>
      <c r="IE350" s="10" t="s">
        <v>1</v>
      </c>
      <c r="IF350" s="10" t="s">
        <v>1</v>
      </c>
      <c r="IG350" s="10"/>
      <c r="IH350" s="10"/>
      <c r="II350" s="10"/>
      <c r="IJ350" s="10"/>
      <c r="IK350" s="10"/>
      <c r="IL350" s="10"/>
      <c r="IM350" s="10"/>
      <c r="IN350" s="10"/>
      <c r="IO350" s="10"/>
      <c r="IP350" s="10"/>
      <c r="IQ350" s="10"/>
      <c r="IR350" s="10"/>
      <c r="IS350" t="s">
        <v>1</v>
      </c>
      <c r="IT350" t="s">
        <v>1</v>
      </c>
      <c r="IW350" t="s">
        <v>1</v>
      </c>
      <c r="IX350" t="s">
        <v>1</v>
      </c>
      <c r="IY350" t="s">
        <v>808</v>
      </c>
      <c r="IZ350">
        <v>4170</v>
      </c>
      <c r="JA350" t="s">
        <v>1</v>
      </c>
      <c r="JB350" s="3" t="s">
        <v>1</v>
      </c>
      <c r="JC350" t="s">
        <v>1</v>
      </c>
      <c r="JD350" s="4" t="s">
        <v>1</v>
      </c>
      <c r="JE350" t="s">
        <v>811</v>
      </c>
      <c r="JF350">
        <v>100</v>
      </c>
      <c r="JR350" t="s">
        <v>1066</v>
      </c>
      <c r="JS350">
        <v>13.4</v>
      </c>
      <c r="JU350" t="s">
        <v>1</v>
      </c>
      <c r="JW350" t="s">
        <v>1</v>
      </c>
      <c r="JX350">
        <v>0</v>
      </c>
      <c r="JY350">
        <v>35</v>
      </c>
      <c r="JZ350" t="s">
        <v>800</v>
      </c>
      <c r="KA350" t="s">
        <v>396</v>
      </c>
      <c r="KB350" t="s">
        <v>738</v>
      </c>
      <c r="KC350" t="s">
        <v>1067</v>
      </c>
      <c r="KD350" s="28">
        <f>AVERAGE(2.25,2.3)</f>
        <v>2.2749999999999999</v>
      </c>
      <c r="KE350" s="1" t="s">
        <v>1</v>
      </c>
      <c r="KF350" s="11" t="s">
        <v>1</v>
      </c>
      <c r="KG350">
        <v>0</v>
      </c>
      <c r="KH350">
        <v>35</v>
      </c>
      <c r="KI350" t="s">
        <v>800</v>
      </c>
      <c r="KJ350" t="s">
        <v>396</v>
      </c>
      <c r="KK350" t="s">
        <v>738</v>
      </c>
    </row>
    <row r="351" spans="1:297" x14ac:dyDescent="0.2">
      <c r="A351">
        <v>319</v>
      </c>
      <c r="B351" t="s">
        <v>705</v>
      </c>
      <c r="C351" t="s">
        <v>1337</v>
      </c>
      <c r="D351" t="s">
        <v>394</v>
      </c>
      <c r="E351">
        <v>57</v>
      </c>
      <c r="F351" t="s">
        <v>395</v>
      </c>
      <c r="G351" t="s">
        <v>1</v>
      </c>
      <c r="H351" s="26" t="s">
        <v>1420</v>
      </c>
      <c r="I351" t="s">
        <v>1</v>
      </c>
      <c r="J351" t="s">
        <v>1</v>
      </c>
      <c r="K351" t="s">
        <v>1</v>
      </c>
      <c r="L351" t="s">
        <v>1</v>
      </c>
      <c r="M351" t="s">
        <v>1</v>
      </c>
      <c r="N351" t="s">
        <v>1</v>
      </c>
      <c r="O351" t="s">
        <v>1</v>
      </c>
      <c r="P351" t="s">
        <v>1</v>
      </c>
      <c r="Q351" t="s">
        <v>1</v>
      </c>
      <c r="R351" t="s">
        <v>1</v>
      </c>
      <c r="S351" t="s">
        <v>1</v>
      </c>
      <c r="T351" t="s">
        <v>1</v>
      </c>
      <c r="U351" t="s">
        <v>1</v>
      </c>
      <c r="V351" t="s">
        <v>1</v>
      </c>
      <c r="W351" t="s">
        <v>1</v>
      </c>
      <c r="X351" t="s">
        <v>1</v>
      </c>
      <c r="Y351" t="s">
        <v>1</v>
      </c>
      <c r="Z351" t="s">
        <v>1</v>
      </c>
      <c r="AA351" t="s">
        <v>1</v>
      </c>
      <c r="AB351" t="s">
        <v>1</v>
      </c>
      <c r="AC351" t="s">
        <v>1</v>
      </c>
      <c r="AD351" t="s">
        <v>1</v>
      </c>
      <c r="AE351" t="s">
        <v>1</v>
      </c>
      <c r="AF351" t="s">
        <v>1</v>
      </c>
      <c r="AG351" t="s">
        <v>1</v>
      </c>
      <c r="AH351" t="s">
        <v>1</v>
      </c>
      <c r="AI351" t="s">
        <v>1</v>
      </c>
      <c r="AJ351" t="s">
        <v>1</v>
      </c>
      <c r="AK351" t="s">
        <v>1</v>
      </c>
      <c r="AL351" t="s">
        <v>1</v>
      </c>
      <c r="AM351" t="s">
        <v>1</v>
      </c>
      <c r="AN351">
        <v>319</v>
      </c>
      <c r="AO351">
        <f t="shared" si="45"/>
        <v>319</v>
      </c>
      <c r="AP351">
        <f t="shared" si="47"/>
        <v>57</v>
      </c>
      <c r="AQ351">
        <f t="shared" si="48"/>
        <v>57</v>
      </c>
      <c r="AR351" s="26" t="s">
        <v>1355</v>
      </c>
      <c r="AS351" s="26" t="s">
        <v>1356</v>
      </c>
      <c r="AT351" t="s">
        <v>710</v>
      </c>
      <c r="AU351" t="s">
        <v>1</v>
      </c>
      <c r="AV351" t="s">
        <v>1</v>
      </c>
      <c r="AW351">
        <v>29.92</v>
      </c>
      <c r="AX351">
        <v>115.5</v>
      </c>
      <c r="AY351" t="s">
        <v>737</v>
      </c>
      <c r="BA351" s="3">
        <v>3</v>
      </c>
      <c r="BB351" s="3"/>
      <c r="BC351" s="3"/>
      <c r="BD351" s="3"/>
      <c r="BE351" s="3"/>
      <c r="BF351">
        <v>2009</v>
      </c>
      <c r="BG351" s="24" t="s">
        <v>733</v>
      </c>
      <c r="BH351" s="24" t="s">
        <v>733</v>
      </c>
      <c r="BI351" s="24" t="s">
        <v>733</v>
      </c>
      <c r="BJ351" s="24" t="s">
        <v>732</v>
      </c>
      <c r="BK351" s="24" t="s">
        <v>733</v>
      </c>
      <c r="BL351" s="25" t="s">
        <v>733</v>
      </c>
      <c r="BM351" s="24" t="s">
        <v>733</v>
      </c>
      <c r="BN351" s="24" t="s">
        <v>732</v>
      </c>
      <c r="BO351" s="24" t="s">
        <v>733</v>
      </c>
      <c r="BP351" s="24" t="s">
        <v>733</v>
      </c>
      <c r="BQ351" s="24" t="s">
        <v>945</v>
      </c>
      <c r="BR351" s="24" t="s">
        <v>945</v>
      </c>
      <c r="BS351" s="25" t="s">
        <v>934</v>
      </c>
      <c r="BT351" s="24" t="s">
        <v>934</v>
      </c>
      <c r="BU351" s="24" t="s">
        <v>934</v>
      </c>
      <c r="BV351" s="24" t="s">
        <v>934</v>
      </c>
      <c r="BW351" s="24" t="s">
        <v>934</v>
      </c>
      <c r="BX351" s="24" t="s">
        <v>934</v>
      </c>
      <c r="BY351" s="25" t="s">
        <v>945</v>
      </c>
      <c r="BZ351" t="s">
        <v>1410</v>
      </c>
      <c r="CB351" t="s">
        <v>118</v>
      </c>
      <c r="CC351" s="4">
        <f>AVERAGE(8807,8976)*86%</f>
        <v>7646.69</v>
      </c>
      <c r="CD351" s="4"/>
      <c r="CE351" s="4"/>
      <c r="CF351" t="s">
        <v>793</v>
      </c>
      <c r="CG351">
        <v>100</v>
      </c>
      <c r="CH351" t="s">
        <v>805</v>
      </c>
      <c r="CI351" s="1">
        <v>0.1</v>
      </c>
      <c r="CJ351" s="9" t="s">
        <v>1</v>
      </c>
      <c r="CK351" s="9" t="s">
        <v>1</v>
      </c>
      <c r="CL351" s="4" t="s">
        <v>1</v>
      </c>
      <c r="CM351" s="4" t="s">
        <v>1</v>
      </c>
      <c r="CN351" s="4" t="s">
        <v>1</v>
      </c>
      <c r="CO351" s="4" t="s">
        <v>1</v>
      </c>
      <c r="CP351" s="4" t="s">
        <v>1</v>
      </c>
      <c r="CQ351" s="4" t="s">
        <v>1</v>
      </c>
      <c r="CR351" s="4" t="s">
        <v>1</v>
      </c>
      <c r="CS351" s="4" t="s">
        <v>1</v>
      </c>
      <c r="CT351" s="4" t="s">
        <v>1</v>
      </c>
      <c r="CU351" s="4" t="s">
        <v>1</v>
      </c>
      <c r="CV351" s="37" t="s">
        <v>857</v>
      </c>
      <c r="CW351">
        <v>100</v>
      </c>
      <c r="CX351">
        <v>0</v>
      </c>
      <c r="CY351">
        <v>20</v>
      </c>
      <c r="CZ351" s="26" t="s">
        <v>1358</v>
      </c>
      <c r="DA351" t="s">
        <v>734</v>
      </c>
      <c r="DB351">
        <v>3</v>
      </c>
      <c r="DC351">
        <v>0</v>
      </c>
      <c r="DD351">
        <v>20</v>
      </c>
      <c r="DE351" s="26" t="s">
        <v>1358</v>
      </c>
      <c r="DF351" t="s">
        <v>735</v>
      </c>
      <c r="DG351">
        <v>50</v>
      </c>
      <c r="DH351">
        <v>0</v>
      </c>
      <c r="DI351">
        <v>20</v>
      </c>
      <c r="DJ351" s="26" t="s">
        <v>1358</v>
      </c>
      <c r="DK351" t="s">
        <v>736</v>
      </c>
      <c r="DL351">
        <v>47</v>
      </c>
      <c r="DM351">
        <v>0</v>
      </c>
      <c r="DN351">
        <v>20</v>
      </c>
      <c r="DO351" s="26" t="s">
        <v>1358</v>
      </c>
      <c r="DP351" t="s">
        <v>6</v>
      </c>
      <c r="DQ351" t="s">
        <v>1</v>
      </c>
      <c r="DR351">
        <v>5.9</v>
      </c>
      <c r="DS351">
        <v>0</v>
      </c>
      <c r="DT351">
        <v>20</v>
      </c>
      <c r="DU351" s="26" t="s">
        <v>1358</v>
      </c>
      <c r="EA351" t="s">
        <v>982</v>
      </c>
      <c r="EB351">
        <v>15.700000000000001</v>
      </c>
      <c r="EC351">
        <v>0</v>
      </c>
      <c r="ED351">
        <v>20</v>
      </c>
      <c r="EE351" s="26" t="s">
        <v>1358</v>
      </c>
      <c r="EF351" s="26"/>
      <c r="FZ351" t="s">
        <v>806</v>
      </c>
      <c r="GA351">
        <v>533.25</v>
      </c>
      <c r="GE351" s="26" t="s">
        <v>1358</v>
      </c>
      <c r="HA351" s="5" t="s">
        <v>1</v>
      </c>
      <c r="HB351" s="4" t="s">
        <v>1</v>
      </c>
      <c r="HC351" t="s">
        <v>1</v>
      </c>
      <c r="HD351" t="s">
        <v>1</v>
      </c>
      <c r="HE351" t="s">
        <v>1</v>
      </c>
      <c r="HF351" s="5" t="s">
        <v>1063</v>
      </c>
      <c r="HG351" s="4">
        <v>2.48</v>
      </c>
      <c r="HH351">
        <v>0</v>
      </c>
      <c r="HI351">
        <v>20</v>
      </c>
      <c r="HJ351" s="26" t="s">
        <v>1358</v>
      </c>
      <c r="HK351" t="s">
        <v>815</v>
      </c>
      <c r="HL351">
        <v>1.28</v>
      </c>
      <c r="HM351">
        <v>0</v>
      </c>
      <c r="HN351">
        <v>20</v>
      </c>
      <c r="HO351" t="s">
        <v>1</v>
      </c>
      <c r="HP351" s="26" t="s">
        <v>1358</v>
      </c>
      <c r="HZ351" t="s">
        <v>1295</v>
      </c>
      <c r="IA351">
        <v>210</v>
      </c>
      <c r="IB351" s="10" t="s">
        <v>822</v>
      </c>
      <c r="IC351" s="10"/>
      <c r="ID351" s="10"/>
      <c r="IE351" s="10" t="s">
        <v>1</v>
      </c>
      <c r="IF351" s="10" t="s">
        <v>1</v>
      </c>
      <c r="IG351" s="10"/>
      <c r="IH351" s="10"/>
      <c r="II351" s="10"/>
      <c r="IJ351" s="10"/>
      <c r="IK351" s="10"/>
      <c r="IL351" s="10"/>
      <c r="IM351" s="10"/>
      <c r="IN351" s="10"/>
      <c r="IO351" s="10"/>
      <c r="IP351" s="10"/>
      <c r="IQ351" s="10"/>
      <c r="IR351" s="10"/>
      <c r="IS351" t="s">
        <v>1</v>
      </c>
      <c r="IT351" t="s">
        <v>1</v>
      </c>
      <c r="IW351" t="s">
        <v>1</v>
      </c>
      <c r="IX351" t="s">
        <v>1</v>
      </c>
      <c r="IY351" t="s">
        <v>808</v>
      </c>
      <c r="IZ351">
        <v>4170</v>
      </c>
      <c r="JA351" t="s">
        <v>1</v>
      </c>
      <c r="JB351" s="3" t="s">
        <v>1</v>
      </c>
      <c r="JC351" t="s">
        <v>1</v>
      </c>
      <c r="JD351" s="4" t="s">
        <v>1</v>
      </c>
      <c r="JE351" t="s">
        <v>810</v>
      </c>
      <c r="JF351">
        <v>100</v>
      </c>
      <c r="JR351" t="s">
        <v>1066</v>
      </c>
      <c r="JS351">
        <v>14.1</v>
      </c>
      <c r="JU351" t="s">
        <v>1</v>
      </c>
      <c r="JW351" t="s">
        <v>1</v>
      </c>
      <c r="JX351">
        <v>0</v>
      </c>
      <c r="JY351">
        <v>35</v>
      </c>
      <c r="JZ351" t="s">
        <v>800</v>
      </c>
      <c r="KA351" t="s">
        <v>396</v>
      </c>
      <c r="KB351" t="s">
        <v>738</v>
      </c>
      <c r="KC351" t="s">
        <v>1067</v>
      </c>
      <c r="KD351" s="28">
        <f>AVERAGE(1.96,1.99)</f>
        <v>1.9750000000000001</v>
      </c>
      <c r="KE351" s="1" t="s">
        <v>1</v>
      </c>
      <c r="KF351" s="11" t="s">
        <v>1</v>
      </c>
      <c r="KG351">
        <v>0</v>
      </c>
      <c r="KH351">
        <v>35</v>
      </c>
      <c r="KI351" t="s">
        <v>800</v>
      </c>
      <c r="KJ351" t="s">
        <v>396</v>
      </c>
      <c r="KK351" t="s">
        <v>738</v>
      </c>
    </row>
    <row r="352" spans="1:297" x14ac:dyDescent="0.2">
      <c r="A352">
        <v>320</v>
      </c>
      <c r="B352" t="s">
        <v>705</v>
      </c>
      <c r="C352" t="s">
        <v>399</v>
      </c>
      <c r="D352" t="s">
        <v>397</v>
      </c>
      <c r="E352">
        <v>58</v>
      </c>
      <c r="F352" t="s">
        <v>398</v>
      </c>
      <c r="G352" t="s">
        <v>1</v>
      </c>
      <c r="H352" s="26" t="s">
        <v>1420</v>
      </c>
      <c r="I352" t="s">
        <v>1</v>
      </c>
      <c r="J352" t="s">
        <v>1</v>
      </c>
      <c r="K352" t="s">
        <v>1</v>
      </c>
      <c r="L352" t="s">
        <v>1</v>
      </c>
      <c r="M352" t="s">
        <v>1</v>
      </c>
      <c r="N352" t="s">
        <v>1</v>
      </c>
      <c r="O352" t="s">
        <v>1</v>
      </c>
      <c r="P352" t="s">
        <v>1</v>
      </c>
      <c r="Q352" t="s">
        <v>1</v>
      </c>
      <c r="R352" t="s">
        <v>1</v>
      </c>
      <c r="S352" t="s">
        <v>1</v>
      </c>
      <c r="T352" t="s">
        <v>1</v>
      </c>
      <c r="U352" t="s">
        <v>1</v>
      </c>
      <c r="V352" t="s">
        <v>1</v>
      </c>
      <c r="W352" t="s">
        <v>1</v>
      </c>
      <c r="X352" t="s">
        <v>1</v>
      </c>
      <c r="Y352" t="s">
        <v>1</v>
      </c>
      <c r="Z352" t="s">
        <v>1</v>
      </c>
      <c r="AA352" t="s">
        <v>1</v>
      </c>
      <c r="AB352" t="s">
        <v>1</v>
      </c>
      <c r="AC352" t="s">
        <v>1</v>
      </c>
      <c r="AD352" t="s">
        <v>1</v>
      </c>
      <c r="AE352" t="s">
        <v>1</v>
      </c>
      <c r="AF352" t="s">
        <v>1</v>
      </c>
      <c r="AG352" t="s">
        <v>1</v>
      </c>
      <c r="AH352" t="s">
        <v>1</v>
      </c>
      <c r="AI352" t="s">
        <v>1</v>
      </c>
      <c r="AJ352" t="s">
        <v>1</v>
      </c>
      <c r="AK352" t="s">
        <v>1</v>
      </c>
      <c r="AL352" t="s">
        <v>1</v>
      </c>
      <c r="AM352" t="s">
        <v>1</v>
      </c>
      <c r="AN352">
        <v>320</v>
      </c>
      <c r="AO352">
        <f t="shared" si="45"/>
        <v>320</v>
      </c>
      <c r="AP352">
        <f t="shared" si="47"/>
        <v>58</v>
      </c>
      <c r="AQ352">
        <f t="shared" si="48"/>
        <v>58</v>
      </c>
      <c r="AR352" s="26" t="s">
        <v>1355</v>
      </c>
      <c r="AS352" s="26" t="s">
        <v>1356</v>
      </c>
      <c r="AT352" t="s">
        <v>709</v>
      </c>
      <c r="AU352" t="s">
        <v>1</v>
      </c>
      <c r="AV352" t="s">
        <v>1</v>
      </c>
      <c r="AW352">
        <v>54.88</v>
      </c>
      <c r="AX352">
        <v>9.08</v>
      </c>
      <c r="AY352" t="s">
        <v>737</v>
      </c>
      <c r="BA352" s="3">
        <v>3</v>
      </c>
      <c r="BB352" s="3"/>
      <c r="BC352" s="3"/>
      <c r="BD352" s="3"/>
      <c r="BE352" s="3"/>
      <c r="BF352">
        <v>2009</v>
      </c>
      <c r="BG352" s="24" t="s">
        <v>733</v>
      </c>
      <c r="BH352" s="24" t="s">
        <v>733</v>
      </c>
      <c r="BI352" s="24" t="s">
        <v>733</v>
      </c>
      <c r="BJ352" s="24" t="s">
        <v>732</v>
      </c>
      <c r="BK352" s="24" t="s">
        <v>733</v>
      </c>
      <c r="BL352" s="25" t="s">
        <v>733</v>
      </c>
      <c r="BM352" s="24" t="s">
        <v>733</v>
      </c>
      <c r="BN352" s="24" t="s">
        <v>732</v>
      </c>
      <c r="BO352" s="24" t="s">
        <v>733</v>
      </c>
      <c r="BP352" s="24" t="s">
        <v>733</v>
      </c>
      <c r="BQ352" s="24" t="s">
        <v>945</v>
      </c>
      <c r="BR352" s="24" t="s">
        <v>945</v>
      </c>
      <c r="BS352" s="25" t="s">
        <v>934</v>
      </c>
      <c r="BT352" s="24" t="s">
        <v>934</v>
      </c>
      <c r="BU352" s="24" t="s">
        <v>934</v>
      </c>
      <c r="BV352" s="24" t="s">
        <v>934</v>
      </c>
      <c r="BW352" s="24" t="s">
        <v>934</v>
      </c>
      <c r="BX352" s="24" t="s">
        <v>934</v>
      </c>
      <c r="BY352" s="25" t="s">
        <v>945</v>
      </c>
      <c r="BZ352" t="s">
        <v>5</v>
      </c>
      <c r="CB352" t="s">
        <v>1</v>
      </c>
      <c r="CC352" s="4" t="s">
        <v>1</v>
      </c>
      <c r="CD352" s="4"/>
      <c r="CE352" s="4"/>
      <c r="CF352" t="s">
        <v>1</v>
      </c>
      <c r="CG352" t="s">
        <v>1</v>
      </c>
      <c r="CH352" t="s">
        <v>805</v>
      </c>
      <c r="CI352" s="28">
        <v>1.6</v>
      </c>
      <c r="CJ352" s="10" t="s">
        <v>1442</v>
      </c>
      <c r="CK352" s="9" t="s">
        <v>1</v>
      </c>
      <c r="CL352" s="4" t="s">
        <v>1</v>
      </c>
      <c r="CM352" t="s">
        <v>847</v>
      </c>
      <c r="CN352" s="4">
        <v>141</v>
      </c>
      <c r="CO352" s="4" t="s">
        <v>1</v>
      </c>
      <c r="CP352" s="4" t="s">
        <v>1</v>
      </c>
      <c r="CQ352" s="4" t="s">
        <v>1</v>
      </c>
      <c r="CR352" s="4" t="s">
        <v>1</v>
      </c>
      <c r="CS352" s="4" t="s">
        <v>1</v>
      </c>
      <c r="CT352" s="4" t="s">
        <v>1</v>
      </c>
      <c r="CU352" s="4" t="s">
        <v>1</v>
      </c>
      <c r="CV352" t="s">
        <v>853</v>
      </c>
      <c r="CW352">
        <v>100</v>
      </c>
      <c r="CX352">
        <v>0</v>
      </c>
      <c r="CY352">
        <v>20</v>
      </c>
      <c r="CZ352" s="26" t="s">
        <v>1358</v>
      </c>
      <c r="DA352" t="s">
        <v>734</v>
      </c>
      <c r="DB352">
        <v>86.8</v>
      </c>
      <c r="DC352">
        <v>0</v>
      </c>
      <c r="DD352">
        <v>20</v>
      </c>
      <c r="DE352" s="26" t="s">
        <v>1358</v>
      </c>
      <c r="DF352" t="s">
        <v>735</v>
      </c>
      <c r="DG352">
        <v>7.6</v>
      </c>
      <c r="DH352">
        <v>0</v>
      </c>
      <c r="DI352">
        <v>20</v>
      </c>
      <c r="DJ352" s="26" t="s">
        <v>1358</v>
      </c>
      <c r="DK352" t="s">
        <v>736</v>
      </c>
      <c r="DL352">
        <v>5.5</v>
      </c>
      <c r="DM352">
        <v>0</v>
      </c>
      <c r="DN352">
        <v>20</v>
      </c>
      <c r="DO352" s="26" t="s">
        <v>1358</v>
      </c>
      <c r="DP352" t="s">
        <v>6</v>
      </c>
      <c r="DQ352" t="s">
        <v>814</v>
      </c>
      <c r="DR352">
        <v>5.3</v>
      </c>
      <c r="DS352">
        <v>0</v>
      </c>
      <c r="DT352">
        <v>20</v>
      </c>
      <c r="DU352" s="26" t="s">
        <v>1358</v>
      </c>
      <c r="EA352" t="s">
        <v>982</v>
      </c>
      <c r="EB352">
        <v>24.4</v>
      </c>
      <c r="EC352">
        <v>0</v>
      </c>
      <c r="ED352">
        <v>20</v>
      </c>
      <c r="EE352" s="26" t="s">
        <v>1358</v>
      </c>
      <c r="EF352" s="26"/>
      <c r="FZ352" t="s">
        <v>806</v>
      </c>
      <c r="GA352">
        <v>789</v>
      </c>
      <c r="GE352" s="26" t="s">
        <v>1358</v>
      </c>
      <c r="HA352" s="5" t="s">
        <v>1</v>
      </c>
      <c r="HB352" s="4" t="s">
        <v>1</v>
      </c>
      <c r="HC352" t="s">
        <v>1</v>
      </c>
      <c r="HD352" t="s">
        <v>1</v>
      </c>
      <c r="HE352" t="s">
        <v>1</v>
      </c>
      <c r="HF352" s="5" t="s">
        <v>1</v>
      </c>
      <c r="HG352" s="4" t="s">
        <v>1</v>
      </c>
      <c r="HH352" t="s">
        <v>1</v>
      </c>
      <c r="HI352" t="s">
        <v>1</v>
      </c>
      <c r="HJ352" t="s">
        <v>1</v>
      </c>
      <c r="HK352" t="s">
        <v>1</v>
      </c>
      <c r="HL352" t="s">
        <v>1</v>
      </c>
      <c r="HM352" t="s">
        <v>1</v>
      </c>
      <c r="HN352" t="s">
        <v>1</v>
      </c>
      <c r="HO352" t="s">
        <v>1</v>
      </c>
      <c r="HP352" t="s">
        <v>1</v>
      </c>
      <c r="HZ352" t="s">
        <v>1</v>
      </c>
      <c r="IA352" t="s">
        <v>1</v>
      </c>
      <c r="IB352" s="10" t="s">
        <v>1</v>
      </c>
      <c r="IC352" s="10"/>
      <c r="ID352" s="10"/>
      <c r="IE352" s="10" t="s">
        <v>1</v>
      </c>
      <c r="IF352" s="10" t="s">
        <v>1</v>
      </c>
      <c r="IG352" s="10"/>
      <c r="IH352" s="10"/>
      <c r="II352" s="10"/>
      <c r="IJ352" s="10"/>
      <c r="IK352" s="10"/>
      <c r="IL352" s="10"/>
      <c r="IM352" s="10"/>
      <c r="IN352" s="10"/>
      <c r="IO352" s="10"/>
      <c r="IP352" s="10"/>
      <c r="IQ352" s="10"/>
      <c r="IR352" s="10"/>
      <c r="IS352" t="s">
        <v>1</v>
      </c>
      <c r="IT352" t="s">
        <v>1</v>
      </c>
      <c r="IW352" t="s">
        <v>1</v>
      </c>
      <c r="IX352" t="s">
        <v>1</v>
      </c>
      <c r="IY352" t="s">
        <v>808</v>
      </c>
      <c r="IZ352">
        <v>250</v>
      </c>
      <c r="JA352" t="s">
        <v>1</v>
      </c>
      <c r="JB352" s="3" t="s">
        <v>1</v>
      </c>
      <c r="JC352" t="s">
        <v>1</v>
      </c>
      <c r="JD352" s="4" t="s">
        <v>1</v>
      </c>
      <c r="JE352" t="s">
        <v>810</v>
      </c>
      <c r="JF352">
        <v>100</v>
      </c>
      <c r="JR352" t="s">
        <v>1066</v>
      </c>
      <c r="JS352">
        <v>380.7</v>
      </c>
      <c r="JU352" t="s">
        <v>1</v>
      </c>
      <c r="JW352" t="s">
        <v>1</v>
      </c>
      <c r="JX352">
        <v>0</v>
      </c>
      <c r="JY352">
        <v>80</v>
      </c>
      <c r="JZ352" t="s">
        <v>800</v>
      </c>
      <c r="KA352" t="s">
        <v>400</v>
      </c>
      <c r="KB352" t="s">
        <v>738</v>
      </c>
      <c r="KC352" t="s">
        <v>1</v>
      </c>
      <c r="KD352" t="s">
        <v>1</v>
      </c>
      <c r="KE352" s="1" t="s">
        <v>1</v>
      </c>
      <c r="KF352" t="s">
        <v>1</v>
      </c>
      <c r="KG352" t="s">
        <v>1</v>
      </c>
      <c r="KH352" t="s">
        <v>1</v>
      </c>
      <c r="KI352" t="s">
        <v>1</v>
      </c>
      <c r="KJ352" t="s">
        <v>1</v>
      </c>
      <c r="KK352" t="s">
        <v>1</v>
      </c>
    </row>
    <row r="353" spans="1:297" x14ac:dyDescent="0.2">
      <c r="A353">
        <v>321</v>
      </c>
      <c r="B353" t="s">
        <v>705</v>
      </c>
      <c r="C353" t="s">
        <v>401</v>
      </c>
      <c r="D353" t="s">
        <v>397</v>
      </c>
      <c r="E353">
        <v>58</v>
      </c>
      <c r="F353" t="s">
        <v>398</v>
      </c>
      <c r="G353" t="s">
        <v>1</v>
      </c>
      <c r="H353" s="26" t="s">
        <v>1420</v>
      </c>
      <c r="I353" t="s">
        <v>1</v>
      </c>
      <c r="J353" t="s">
        <v>1</v>
      </c>
      <c r="K353" t="s">
        <v>1</v>
      </c>
      <c r="L353" t="s">
        <v>1</v>
      </c>
      <c r="M353" t="s">
        <v>1</v>
      </c>
      <c r="N353" t="s">
        <v>1</v>
      </c>
      <c r="O353" t="s">
        <v>1</v>
      </c>
      <c r="P353" t="s">
        <v>1</v>
      </c>
      <c r="Q353" t="s">
        <v>1</v>
      </c>
      <c r="R353" t="s">
        <v>1</v>
      </c>
      <c r="S353" t="s">
        <v>1</v>
      </c>
      <c r="T353" t="s">
        <v>1</v>
      </c>
      <c r="U353" t="s">
        <v>1</v>
      </c>
      <c r="V353" t="s">
        <v>1</v>
      </c>
      <c r="W353" t="s">
        <v>1</v>
      </c>
      <c r="X353" t="s">
        <v>1</v>
      </c>
      <c r="Y353" t="s">
        <v>1</v>
      </c>
      <c r="Z353" t="s">
        <v>1</v>
      </c>
      <c r="AA353" t="s">
        <v>1</v>
      </c>
      <c r="AB353" t="s">
        <v>1</v>
      </c>
      <c r="AC353" t="s">
        <v>1</v>
      </c>
      <c r="AD353" t="s">
        <v>1</v>
      </c>
      <c r="AE353" t="s">
        <v>1</v>
      </c>
      <c r="AF353" t="s">
        <v>1</v>
      </c>
      <c r="AG353" t="s">
        <v>1</v>
      </c>
      <c r="AH353" t="s">
        <v>1</v>
      </c>
      <c r="AI353" t="s">
        <v>1</v>
      </c>
      <c r="AJ353" t="s">
        <v>1</v>
      </c>
      <c r="AK353" t="s">
        <v>1</v>
      </c>
      <c r="AL353" t="s">
        <v>1</v>
      </c>
      <c r="AM353" t="s">
        <v>1</v>
      </c>
      <c r="AN353">
        <v>321</v>
      </c>
      <c r="AO353">
        <f t="shared" si="45"/>
        <v>321</v>
      </c>
      <c r="AP353">
        <f t="shared" si="47"/>
        <v>58</v>
      </c>
      <c r="AQ353">
        <f t="shared" si="48"/>
        <v>58</v>
      </c>
      <c r="AR353" s="26" t="s">
        <v>1355</v>
      </c>
      <c r="AS353" s="26" t="s">
        <v>1356</v>
      </c>
      <c r="AT353" t="s">
        <v>709</v>
      </c>
      <c r="AU353" t="s">
        <v>1</v>
      </c>
      <c r="AV353" t="s">
        <v>1</v>
      </c>
      <c r="AW353">
        <v>54.88</v>
      </c>
      <c r="AX353">
        <v>9.08</v>
      </c>
      <c r="AY353" t="s">
        <v>737</v>
      </c>
      <c r="BA353" s="3">
        <v>3</v>
      </c>
      <c r="BB353" s="3"/>
      <c r="BC353" s="3"/>
      <c r="BD353" s="3"/>
      <c r="BE353" s="3"/>
      <c r="BF353">
        <v>2009</v>
      </c>
      <c r="BG353" s="24" t="s">
        <v>733</v>
      </c>
      <c r="BH353" s="24" t="s">
        <v>733</v>
      </c>
      <c r="BI353" s="24" t="s">
        <v>733</v>
      </c>
      <c r="BJ353" s="24" t="s">
        <v>732</v>
      </c>
      <c r="BK353" s="24" t="s">
        <v>733</v>
      </c>
      <c r="BL353" s="25" t="s">
        <v>733</v>
      </c>
      <c r="BM353" s="24" t="s">
        <v>733</v>
      </c>
      <c r="BN353" s="24" t="s">
        <v>732</v>
      </c>
      <c r="BO353" s="24" t="s">
        <v>733</v>
      </c>
      <c r="BP353" s="24" t="s">
        <v>733</v>
      </c>
      <c r="BQ353" s="24" t="s">
        <v>945</v>
      </c>
      <c r="BR353" s="24" t="s">
        <v>945</v>
      </c>
      <c r="BS353" s="25" t="s">
        <v>934</v>
      </c>
      <c r="BT353" s="24" t="s">
        <v>934</v>
      </c>
      <c r="BU353" s="24" t="s">
        <v>934</v>
      </c>
      <c r="BV353" s="24" t="s">
        <v>934</v>
      </c>
      <c r="BW353" s="24" t="s">
        <v>934</v>
      </c>
      <c r="BX353" s="24" t="s">
        <v>934</v>
      </c>
      <c r="BY353" s="25" t="s">
        <v>945</v>
      </c>
      <c r="BZ353" t="s">
        <v>788</v>
      </c>
      <c r="CB353" t="s">
        <v>402</v>
      </c>
      <c r="CC353" s="4" t="s">
        <v>1</v>
      </c>
      <c r="CD353" s="4"/>
      <c r="CE353" s="4"/>
      <c r="CF353" t="s">
        <v>1</v>
      </c>
      <c r="CG353" t="s">
        <v>1</v>
      </c>
      <c r="CH353" t="s">
        <v>805</v>
      </c>
      <c r="CI353" s="28">
        <v>1.6</v>
      </c>
      <c r="CJ353" s="10" t="s">
        <v>1442</v>
      </c>
      <c r="CK353" s="9" t="s">
        <v>1</v>
      </c>
      <c r="CL353" s="4" t="s">
        <v>1</v>
      </c>
      <c r="CM353" t="s">
        <v>847</v>
      </c>
      <c r="CN353" s="4">
        <v>136</v>
      </c>
      <c r="CO353" s="4" t="s">
        <v>1</v>
      </c>
      <c r="CP353" s="4" t="s">
        <v>1</v>
      </c>
      <c r="CQ353" s="4" t="s">
        <v>1</v>
      </c>
      <c r="CR353" s="4" t="s">
        <v>1</v>
      </c>
      <c r="CS353" s="4" t="s">
        <v>1</v>
      </c>
      <c r="CT353" s="4" t="s">
        <v>1</v>
      </c>
      <c r="CU353" s="4" t="s">
        <v>1</v>
      </c>
      <c r="CV353" t="s">
        <v>853</v>
      </c>
      <c r="CW353">
        <v>100</v>
      </c>
      <c r="CX353">
        <v>0</v>
      </c>
      <c r="CY353">
        <v>20</v>
      </c>
      <c r="CZ353" s="26" t="s">
        <v>1358</v>
      </c>
      <c r="DA353" t="s">
        <v>734</v>
      </c>
      <c r="DB353">
        <v>86.8</v>
      </c>
      <c r="DC353">
        <v>0</v>
      </c>
      <c r="DD353">
        <v>20</v>
      </c>
      <c r="DE353" s="26" t="s">
        <v>1358</v>
      </c>
      <c r="DF353" t="s">
        <v>735</v>
      </c>
      <c r="DG353">
        <v>7.6</v>
      </c>
      <c r="DH353">
        <v>0</v>
      </c>
      <c r="DI353">
        <v>20</v>
      </c>
      <c r="DJ353" s="26" t="s">
        <v>1358</v>
      </c>
      <c r="DK353" t="s">
        <v>736</v>
      </c>
      <c r="DL353">
        <v>5.5</v>
      </c>
      <c r="DM353">
        <v>0</v>
      </c>
      <c r="DN353">
        <v>20</v>
      </c>
      <c r="DO353" s="26" t="s">
        <v>1358</v>
      </c>
      <c r="DP353" t="s">
        <v>6</v>
      </c>
      <c r="DQ353" t="s">
        <v>814</v>
      </c>
      <c r="DR353">
        <v>5.3</v>
      </c>
      <c r="DS353">
        <v>0</v>
      </c>
      <c r="DT353">
        <v>20</v>
      </c>
      <c r="DU353" s="26" t="s">
        <v>1358</v>
      </c>
      <c r="EA353" t="s">
        <v>982</v>
      </c>
      <c r="EB353">
        <v>24.4</v>
      </c>
      <c r="EC353">
        <v>0</v>
      </c>
      <c r="ED353">
        <v>20</v>
      </c>
      <c r="EE353" s="26" t="s">
        <v>1358</v>
      </c>
      <c r="EF353" s="26"/>
      <c r="FZ353" t="s">
        <v>806</v>
      </c>
      <c r="GA353">
        <v>789</v>
      </c>
      <c r="GE353" s="26" t="s">
        <v>1358</v>
      </c>
      <c r="HA353" s="5" t="s">
        <v>1</v>
      </c>
      <c r="HB353" s="4" t="s">
        <v>1</v>
      </c>
      <c r="HC353" t="s">
        <v>1</v>
      </c>
      <c r="HD353" t="s">
        <v>1</v>
      </c>
      <c r="HE353" t="s">
        <v>1</v>
      </c>
      <c r="HF353" s="5" t="s">
        <v>1</v>
      </c>
      <c r="HG353" s="4" t="s">
        <v>1</v>
      </c>
      <c r="HH353" t="s">
        <v>1</v>
      </c>
      <c r="HI353" t="s">
        <v>1</v>
      </c>
      <c r="HJ353" t="s">
        <v>1</v>
      </c>
      <c r="HK353" t="s">
        <v>1</v>
      </c>
      <c r="HL353" t="s">
        <v>1</v>
      </c>
      <c r="HM353" t="s">
        <v>1</v>
      </c>
      <c r="HN353" t="s">
        <v>1</v>
      </c>
      <c r="HO353" t="s">
        <v>1</v>
      </c>
      <c r="HP353" t="s">
        <v>1</v>
      </c>
      <c r="HZ353" t="s">
        <v>1</v>
      </c>
      <c r="IA353" t="s">
        <v>1</v>
      </c>
      <c r="IB353" s="10" t="s">
        <v>1</v>
      </c>
      <c r="IC353" s="10"/>
      <c r="ID353" s="10"/>
      <c r="IE353" s="10" t="s">
        <v>1</v>
      </c>
      <c r="IF353" s="10" t="s">
        <v>1</v>
      </c>
      <c r="IG353" s="10"/>
      <c r="IH353" s="10"/>
      <c r="II353" s="10"/>
      <c r="IJ353" s="10"/>
      <c r="IK353" s="10"/>
      <c r="IL353" s="10"/>
      <c r="IM353" s="10"/>
      <c r="IN353" s="10"/>
      <c r="IO353" s="10"/>
      <c r="IP353" s="10"/>
      <c r="IQ353" s="10"/>
      <c r="IR353" s="10"/>
      <c r="IS353" t="s">
        <v>1</v>
      </c>
      <c r="IT353" t="s">
        <v>1</v>
      </c>
      <c r="IW353" t="s">
        <v>1</v>
      </c>
      <c r="IX353" t="s">
        <v>1</v>
      </c>
      <c r="IY353" t="s">
        <v>808</v>
      </c>
      <c r="IZ353">
        <v>250</v>
      </c>
      <c r="JA353" t="s">
        <v>1</v>
      </c>
      <c r="JB353" s="3" t="s">
        <v>1</v>
      </c>
      <c r="JC353" t="s">
        <v>1</v>
      </c>
      <c r="JD353" s="4" t="s">
        <v>1</v>
      </c>
      <c r="JE353" t="s">
        <v>810</v>
      </c>
      <c r="JF353">
        <v>100</v>
      </c>
      <c r="JR353" t="s">
        <v>1066</v>
      </c>
      <c r="JS353">
        <v>327.60000000000002</v>
      </c>
      <c r="JU353" t="s">
        <v>1</v>
      </c>
      <c r="JW353" t="s">
        <v>1</v>
      </c>
      <c r="JX353">
        <v>0</v>
      </c>
      <c r="JY353">
        <v>80</v>
      </c>
      <c r="JZ353" t="s">
        <v>800</v>
      </c>
      <c r="KA353" t="s">
        <v>400</v>
      </c>
      <c r="KB353" t="s">
        <v>738</v>
      </c>
      <c r="KC353" t="s">
        <v>1</v>
      </c>
      <c r="KD353" t="s">
        <v>1</v>
      </c>
      <c r="KE353" s="1" t="s">
        <v>1</v>
      </c>
      <c r="KF353" t="s">
        <v>1</v>
      </c>
      <c r="KG353" t="s">
        <v>1</v>
      </c>
      <c r="KH353" t="s">
        <v>1</v>
      </c>
      <c r="KI353" t="s">
        <v>1</v>
      </c>
      <c r="KJ353" t="s">
        <v>1</v>
      </c>
      <c r="KK353" t="s">
        <v>1</v>
      </c>
    </row>
    <row r="354" spans="1:297" x14ac:dyDescent="0.2">
      <c r="A354">
        <v>322</v>
      </c>
      <c r="B354" t="s">
        <v>705</v>
      </c>
      <c r="C354" t="s">
        <v>403</v>
      </c>
      <c r="D354" t="s">
        <v>397</v>
      </c>
      <c r="E354">
        <v>58</v>
      </c>
      <c r="F354" t="s">
        <v>398</v>
      </c>
      <c r="G354" t="s">
        <v>1</v>
      </c>
      <c r="H354" s="26" t="s">
        <v>1420</v>
      </c>
      <c r="I354" t="s">
        <v>1</v>
      </c>
      <c r="J354" t="s">
        <v>1</v>
      </c>
      <c r="K354" t="s">
        <v>1</v>
      </c>
      <c r="L354" t="s">
        <v>1</v>
      </c>
      <c r="M354" t="s">
        <v>1</v>
      </c>
      <c r="N354" t="s">
        <v>1</v>
      </c>
      <c r="O354" t="s">
        <v>1</v>
      </c>
      <c r="P354" t="s">
        <v>1</v>
      </c>
      <c r="Q354" t="s">
        <v>1</v>
      </c>
      <c r="R354" t="s">
        <v>1</v>
      </c>
      <c r="S354" t="s">
        <v>1</v>
      </c>
      <c r="T354" t="s">
        <v>1</v>
      </c>
      <c r="U354" t="s">
        <v>1</v>
      </c>
      <c r="V354" t="s">
        <v>1</v>
      </c>
      <c r="W354" t="s">
        <v>1</v>
      </c>
      <c r="X354" t="s">
        <v>1</v>
      </c>
      <c r="Y354" t="s">
        <v>1</v>
      </c>
      <c r="Z354" t="s">
        <v>1</v>
      </c>
      <c r="AA354" t="s">
        <v>1</v>
      </c>
      <c r="AB354" t="s">
        <v>1</v>
      </c>
      <c r="AC354" t="s">
        <v>1</v>
      </c>
      <c r="AD354" t="s">
        <v>1</v>
      </c>
      <c r="AE354" t="s">
        <v>1</v>
      </c>
      <c r="AF354" t="s">
        <v>1</v>
      </c>
      <c r="AG354" t="s">
        <v>1</v>
      </c>
      <c r="AH354" t="s">
        <v>1</v>
      </c>
      <c r="AI354" t="s">
        <v>1</v>
      </c>
      <c r="AJ354" t="s">
        <v>1</v>
      </c>
      <c r="AK354" t="s">
        <v>1</v>
      </c>
      <c r="AL354" t="s">
        <v>1</v>
      </c>
      <c r="AM354" t="s">
        <v>1</v>
      </c>
      <c r="AN354">
        <v>322</v>
      </c>
      <c r="AO354">
        <f t="shared" si="45"/>
        <v>322</v>
      </c>
      <c r="AP354">
        <f t="shared" si="47"/>
        <v>58</v>
      </c>
      <c r="AQ354">
        <f t="shared" si="48"/>
        <v>58</v>
      </c>
      <c r="AR354" s="26" t="s">
        <v>1355</v>
      </c>
      <c r="AS354" s="26" t="s">
        <v>1356</v>
      </c>
      <c r="AT354" t="s">
        <v>709</v>
      </c>
      <c r="AU354" t="s">
        <v>1</v>
      </c>
      <c r="AV354" t="s">
        <v>1</v>
      </c>
      <c r="AW354">
        <v>54.88</v>
      </c>
      <c r="AX354">
        <v>9.08</v>
      </c>
      <c r="AY354" t="s">
        <v>737</v>
      </c>
      <c r="BA354" s="3">
        <v>3</v>
      </c>
      <c r="BB354" s="3"/>
      <c r="BC354" s="3"/>
      <c r="BD354" s="3"/>
      <c r="BE354" s="3"/>
      <c r="BF354">
        <v>2009</v>
      </c>
      <c r="BG354" s="24" t="s">
        <v>733</v>
      </c>
      <c r="BH354" s="24" t="s">
        <v>733</v>
      </c>
      <c r="BI354" s="24" t="s">
        <v>733</v>
      </c>
      <c r="BJ354" s="24" t="s">
        <v>732</v>
      </c>
      <c r="BK354" s="24" t="s">
        <v>733</v>
      </c>
      <c r="BL354" s="25" t="s">
        <v>733</v>
      </c>
      <c r="BM354" s="24" t="s">
        <v>733</v>
      </c>
      <c r="BN354" s="24" t="s">
        <v>732</v>
      </c>
      <c r="BO354" s="24" t="s">
        <v>733</v>
      </c>
      <c r="BP354" s="24" t="s">
        <v>733</v>
      </c>
      <c r="BQ354" s="24" t="s">
        <v>945</v>
      </c>
      <c r="BR354" s="24" t="s">
        <v>945</v>
      </c>
      <c r="BS354" s="25" t="s">
        <v>934</v>
      </c>
      <c r="BT354" s="24" t="s">
        <v>934</v>
      </c>
      <c r="BU354" s="24" t="s">
        <v>934</v>
      </c>
      <c r="BV354" s="24" t="s">
        <v>934</v>
      </c>
      <c r="BW354" s="24" t="s">
        <v>934</v>
      </c>
      <c r="BX354" s="24" t="s">
        <v>934</v>
      </c>
      <c r="BY354" s="25" t="s">
        <v>945</v>
      </c>
      <c r="BZ354" t="s">
        <v>5</v>
      </c>
      <c r="CB354" t="s">
        <v>1</v>
      </c>
      <c r="CC354" s="4" t="s">
        <v>1</v>
      </c>
      <c r="CD354" s="4"/>
      <c r="CE354" s="4"/>
      <c r="CF354" t="s">
        <v>1</v>
      </c>
      <c r="CG354" t="s">
        <v>1</v>
      </c>
      <c r="CH354" t="s">
        <v>805</v>
      </c>
      <c r="CI354" s="28">
        <v>1.6</v>
      </c>
      <c r="CJ354" s="10" t="s">
        <v>1442</v>
      </c>
      <c r="CK354" s="9" t="s">
        <v>1</v>
      </c>
      <c r="CL354" s="4" t="s">
        <v>1</v>
      </c>
      <c r="CM354" t="s">
        <v>847</v>
      </c>
      <c r="CN354" s="4">
        <v>181</v>
      </c>
      <c r="CO354" s="4" t="s">
        <v>1</v>
      </c>
      <c r="CP354" s="4" t="s">
        <v>1</v>
      </c>
      <c r="CQ354" s="4" t="s">
        <v>1</v>
      </c>
      <c r="CR354" s="4" t="s">
        <v>1</v>
      </c>
      <c r="CS354" s="4" t="s">
        <v>1</v>
      </c>
      <c r="CT354" s="4" t="s">
        <v>1</v>
      </c>
      <c r="CU354" s="4" t="s">
        <v>1</v>
      </c>
      <c r="CV354" t="s">
        <v>853</v>
      </c>
      <c r="CW354">
        <v>100</v>
      </c>
      <c r="CX354">
        <v>0</v>
      </c>
      <c r="CY354">
        <v>20</v>
      </c>
      <c r="CZ354" s="26" t="s">
        <v>1358</v>
      </c>
      <c r="DA354" t="s">
        <v>734</v>
      </c>
      <c r="DB354">
        <v>86.8</v>
      </c>
      <c r="DC354">
        <v>0</v>
      </c>
      <c r="DD354">
        <v>20</v>
      </c>
      <c r="DE354" s="26" t="s">
        <v>1358</v>
      </c>
      <c r="DF354" t="s">
        <v>735</v>
      </c>
      <c r="DG354">
        <v>7.6</v>
      </c>
      <c r="DH354">
        <v>0</v>
      </c>
      <c r="DI354">
        <v>20</v>
      </c>
      <c r="DJ354" s="26" t="s">
        <v>1358</v>
      </c>
      <c r="DK354" t="s">
        <v>736</v>
      </c>
      <c r="DL354">
        <v>5.5</v>
      </c>
      <c r="DM354">
        <v>0</v>
      </c>
      <c r="DN354">
        <v>20</v>
      </c>
      <c r="DO354" s="26" t="s">
        <v>1358</v>
      </c>
      <c r="DP354" t="s">
        <v>6</v>
      </c>
      <c r="DQ354" t="s">
        <v>814</v>
      </c>
      <c r="DR354">
        <v>5.3</v>
      </c>
      <c r="DS354">
        <v>0</v>
      </c>
      <c r="DT354">
        <v>20</v>
      </c>
      <c r="DU354" s="26" t="s">
        <v>1358</v>
      </c>
      <c r="EA354" t="s">
        <v>982</v>
      </c>
      <c r="EB354">
        <v>24.4</v>
      </c>
      <c r="EC354">
        <v>0</v>
      </c>
      <c r="ED354">
        <v>20</v>
      </c>
      <c r="EE354" s="26" t="s">
        <v>1358</v>
      </c>
      <c r="EF354" s="26"/>
      <c r="FZ354" t="s">
        <v>806</v>
      </c>
      <c r="GA354">
        <v>789</v>
      </c>
      <c r="GE354" s="26" t="s">
        <v>1358</v>
      </c>
      <c r="HA354" s="5" t="s">
        <v>1</v>
      </c>
      <c r="HB354" s="4" t="s">
        <v>1</v>
      </c>
      <c r="HC354" t="s">
        <v>1</v>
      </c>
      <c r="HD354" t="s">
        <v>1</v>
      </c>
      <c r="HE354" t="s">
        <v>1</v>
      </c>
      <c r="HF354" s="5" t="s">
        <v>1</v>
      </c>
      <c r="HG354" s="4" t="s">
        <v>1</v>
      </c>
      <c r="HH354" t="s">
        <v>1</v>
      </c>
      <c r="HI354" t="s">
        <v>1</v>
      </c>
      <c r="HJ354" t="s">
        <v>1</v>
      </c>
      <c r="HK354" t="s">
        <v>1</v>
      </c>
      <c r="HL354" t="s">
        <v>1</v>
      </c>
      <c r="HM354" t="s">
        <v>1</v>
      </c>
      <c r="HN354" t="s">
        <v>1</v>
      </c>
      <c r="HO354" t="s">
        <v>1</v>
      </c>
      <c r="HP354" t="s">
        <v>1</v>
      </c>
      <c r="HZ354" t="s">
        <v>1</v>
      </c>
      <c r="IA354" t="s">
        <v>1</v>
      </c>
      <c r="IB354" s="10" t="s">
        <v>1</v>
      </c>
      <c r="IC354" s="10"/>
      <c r="ID354" s="10"/>
      <c r="IE354" s="10" t="s">
        <v>1</v>
      </c>
      <c r="IF354" s="10" t="s">
        <v>1</v>
      </c>
      <c r="IG354" s="10"/>
      <c r="IH354" s="10"/>
      <c r="II354" s="10"/>
      <c r="IJ354" s="10"/>
      <c r="IK354" s="10"/>
      <c r="IL354" s="10"/>
      <c r="IM354" s="10"/>
      <c r="IN354" s="10"/>
      <c r="IO354" s="10"/>
      <c r="IP354" s="10"/>
      <c r="IQ354" s="10"/>
      <c r="IR354" s="10"/>
      <c r="IS354" t="s">
        <v>1</v>
      </c>
      <c r="IT354" t="s">
        <v>1</v>
      </c>
      <c r="IW354" t="s">
        <v>979</v>
      </c>
      <c r="IX354">
        <v>135</v>
      </c>
      <c r="IY354" t="s">
        <v>808</v>
      </c>
      <c r="IZ354">
        <v>250</v>
      </c>
      <c r="JA354" t="s">
        <v>1</v>
      </c>
      <c r="JB354" s="3" t="s">
        <v>1</v>
      </c>
      <c r="JC354" t="s">
        <v>1</v>
      </c>
      <c r="JD354" s="4" t="s">
        <v>1</v>
      </c>
      <c r="JE354" t="s">
        <v>810</v>
      </c>
      <c r="JF354">
        <v>100</v>
      </c>
      <c r="JR354" t="s">
        <v>1066</v>
      </c>
      <c r="JS354">
        <v>602</v>
      </c>
      <c r="JU354" t="s">
        <v>1</v>
      </c>
      <c r="JW354" t="s">
        <v>1</v>
      </c>
      <c r="JX354">
        <v>0</v>
      </c>
      <c r="JY354">
        <v>80</v>
      </c>
      <c r="JZ354" t="s">
        <v>800</v>
      </c>
      <c r="KA354" t="s">
        <v>400</v>
      </c>
      <c r="KB354" t="s">
        <v>738</v>
      </c>
      <c r="KC354" t="s">
        <v>1</v>
      </c>
      <c r="KD354" t="s">
        <v>1</v>
      </c>
      <c r="KE354" s="1" t="s">
        <v>1</v>
      </c>
      <c r="KF354" t="s">
        <v>1</v>
      </c>
      <c r="KG354" t="s">
        <v>1</v>
      </c>
      <c r="KH354" t="s">
        <v>1</v>
      </c>
      <c r="KI354" t="s">
        <v>1</v>
      </c>
      <c r="KJ354" t="s">
        <v>1</v>
      </c>
      <c r="KK354" t="s">
        <v>1</v>
      </c>
    </row>
    <row r="355" spans="1:297" x14ac:dyDescent="0.2">
      <c r="A355">
        <v>323</v>
      </c>
      <c r="B355" t="s">
        <v>705</v>
      </c>
      <c r="C355" t="s">
        <v>404</v>
      </c>
      <c r="D355" t="s">
        <v>397</v>
      </c>
      <c r="E355">
        <v>58</v>
      </c>
      <c r="F355" t="s">
        <v>398</v>
      </c>
      <c r="G355" t="s">
        <v>1</v>
      </c>
      <c r="H355" s="26" t="s">
        <v>1420</v>
      </c>
      <c r="I355" t="s">
        <v>1</v>
      </c>
      <c r="J355" t="s">
        <v>1</v>
      </c>
      <c r="K355" t="s">
        <v>1</v>
      </c>
      <c r="L355" t="s">
        <v>1</v>
      </c>
      <c r="M355" t="s">
        <v>1</v>
      </c>
      <c r="N355" t="s">
        <v>1</v>
      </c>
      <c r="O355" t="s">
        <v>1</v>
      </c>
      <c r="P355" t="s">
        <v>1</v>
      </c>
      <c r="Q355" t="s">
        <v>1</v>
      </c>
      <c r="R355" t="s">
        <v>1</v>
      </c>
      <c r="S355" t="s">
        <v>1</v>
      </c>
      <c r="T355" t="s">
        <v>1</v>
      </c>
      <c r="U355" t="s">
        <v>1</v>
      </c>
      <c r="V355" t="s">
        <v>1</v>
      </c>
      <c r="W355" t="s">
        <v>1</v>
      </c>
      <c r="X355" t="s">
        <v>1</v>
      </c>
      <c r="Y355" t="s">
        <v>1</v>
      </c>
      <c r="Z355" t="s">
        <v>1</v>
      </c>
      <c r="AA355" t="s">
        <v>1</v>
      </c>
      <c r="AB355" t="s">
        <v>1</v>
      </c>
      <c r="AC355" t="s">
        <v>1</v>
      </c>
      <c r="AD355" t="s">
        <v>1</v>
      </c>
      <c r="AE355" t="s">
        <v>1</v>
      </c>
      <c r="AF355" t="s">
        <v>1</v>
      </c>
      <c r="AG355" t="s">
        <v>1</v>
      </c>
      <c r="AH355" t="s">
        <v>1</v>
      </c>
      <c r="AI355" t="s">
        <v>1</v>
      </c>
      <c r="AJ355" t="s">
        <v>1</v>
      </c>
      <c r="AK355" t="s">
        <v>1</v>
      </c>
      <c r="AL355" t="s">
        <v>1</v>
      </c>
      <c r="AM355" t="s">
        <v>1</v>
      </c>
      <c r="AN355">
        <v>323</v>
      </c>
      <c r="AO355">
        <f t="shared" si="45"/>
        <v>323</v>
      </c>
      <c r="AP355">
        <f t="shared" si="47"/>
        <v>58</v>
      </c>
      <c r="AQ355">
        <f t="shared" si="48"/>
        <v>58</v>
      </c>
      <c r="AR355" s="26" t="s">
        <v>1355</v>
      </c>
      <c r="AS355" s="26" t="s">
        <v>1356</v>
      </c>
      <c r="AT355" t="s">
        <v>709</v>
      </c>
      <c r="AU355" t="s">
        <v>1</v>
      </c>
      <c r="AV355" t="s">
        <v>1</v>
      </c>
      <c r="AW355">
        <v>54.88</v>
      </c>
      <c r="AX355">
        <v>9.08</v>
      </c>
      <c r="AY355" t="s">
        <v>737</v>
      </c>
      <c r="BA355" s="3">
        <v>3</v>
      </c>
      <c r="BB355" s="3"/>
      <c r="BC355" s="3"/>
      <c r="BD355" s="3"/>
      <c r="BE355" s="3"/>
      <c r="BF355">
        <v>2009</v>
      </c>
      <c r="BG355" s="24" t="s">
        <v>733</v>
      </c>
      <c r="BH355" s="24" t="s">
        <v>733</v>
      </c>
      <c r="BI355" s="24" t="s">
        <v>733</v>
      </c>
      <c r="BJ355" s="24" t="s">
        <v>732</v>
      </c>
      <c r="BK355" s="24" t="s">
        <v>733</v>
      </c>
      <c r="BL355" s="25" t="s">
        <v>733</v>
      </c>
      <c r="BM355" s="24" t="s">
        <v>733</v>
      </c>
      <c r="BN355" s="24" t="s">
        <v>732</v>
      </c>
      <c r="BO355" s="24" t="s">
        <v>733</v>
      </c>
      <c r="BP355" s="24" t="s">
        <v>733</v>
      </c>
      <c r="BQ355" s="24" t="s">
        <v>945</v>
      </c>
      <c r="BR355" s="24" t="s">
        <v>945</v>
      </c>
      <c r="BS355" s="25" t="s">
        <v>934</v>
      </c>
      <c r="BT355" s="24" t="s">
        <v>934</v>
      </c>
      <c r="BU355" s="24" t="s">
        <v>934</v>
      </c>
      <c r="BV355" s="24" t="s">
        <v>934</v>
      </c>
      <c r="BW355" s="24" t="s">
        <v>934</v>
      </c>
      <c r="BX355" s="24" t="s">
        <v>934</v>
      </c>
      <c r="BY355" s="25" t="s">
        <v>945</v>
      </c>
      <c r="BZ355" t="s">
        <v>1397</v>
      </c>
      <c r="CB355" t="s">
        <v>402</v>
      </c>
      <c r="CC355" s="4" t="s">
        <v>1</v>
      </c>
      <c r="CD355" s="4"/>
      <c r="CE355" s="4"/>
      <c r="CF355" t="s">
        <v>1</v>
      </c>
      <c r="CG355" t="s">
        <v>1</v>
      </c>
      <c r="CH355" t="s">
        <v>805</v>
      </c>
      <c r="CI355" s="28">
        <v>1.6</v>
      </c>
      <c r="CJ355" s="10" t="s">
        <v>1442</v>
      </c>
      <c r="CK355" s="9" t="s">
        <v>1</v>
      </c>
      <c r="CL355" s="4" t="s">
        <v>1</v>
      </c>
      <c r="CM355" t="s">
        <v>847</v>
      </c>
      <c r="CN355" s="4">
        <v>173</v>
      </c>
      <c r="CO355" s="4" t="s">
        <v>1</v>
      </c>
      <c r="CP355" s="4" t="s">
        <v>1</v>
      </c>
      <c r="CQ355" s="4" t="s">
        <v>1</v>
      </c>
      <c r="CR355" s="4" t="s">
        <v>1</v>
      </c>
      <c r="CS355" s="4" t="s">
        <v>1</v>
      </c>
      <c r="CT355" s="4" t="s">
        <v>1</v>
      </c>
      <c r="CU355" s="4" t="s">
        <v>1</v>
      </c>
      <c r="CV355" t="s">
        <v>853</v>
      </c>
      <c r="CW355">
        <v>100</v>
      </c>
      <c r="CX355">
        <v>0</v>
      </c>
      <c r="CY355">
        <v>20</v>
      </c>
      <c r="CZ355" s="26" t="s">
        <v>1358</v>
      </c>
      <c r="DA355" t="s">
        <v>734</v>
      </c>
      <c r="DB355">
        <v>86.8</v>
      </c>
      <c r="DC355">
        <v>0</v>
      </c>
      <c r="DD355">
        <v>20</v>
      </c>
      <c r="DE355" s="26" t="s">
        <v>1358</v>
      </c>
      <c r="DF355" t="s">
        <v>735</v>
      </c>
      <c r="DG355">
        <v>7.6</v>
      </c>
      <c r="DH355">
        <v>0</v>
      </c>
      <c r="DI355">
        <v>20</v>
      </c>
      <c r="DJ355" s="26" t="s">
        <v>1358</v>
      </c>
      <c r="DK355" t="s">
        <v>736</v>
      </c>
      <c r="DL355">
        <v>5.5</v>
      </c>
      <c r="DM355">
        <v>0</v>
      </c>
      <c r="DN355">
        <v>20</v>
      </c>
      <c r="DO355" s="26" t="s">
        <v>1358</v>
      </c>
      <c r="DP355" t="s">
        <v>6</v>
      </c>
      <c r="DQ355" t="s">
        <v>814</v>
      </c>
      <c r="DR355">
        <v>5.3</v>
      </c>
      <c r="DS355">
        <v>0</v>
      </c>
      <c r="DT355">
        <v>20</v>
      </c>
      <c r="DU355" s="26" t="s">
        <v>1358</v>
      </c>
      <c r="EA355" t="s">
        <v>982</v>
      </c>
      <c r="EB355">
        <v>24.4</v>
      </c>
      <c r="EC355">
        <v>0</v>
      </c>
      <c r="ED355">
        <v>20</v>
      </c>
      <c r="EE355" s="26" t="s">
        <v>1358</v>
      </c>
      <c r="EF355" s="26"/>
      <c r="FZ355" t="s">
        <v>806</v>
      </c>
      <c r="GA355">
        <v>789</v>
      </c>
      <c r="GE355" s="26" t="s">
        <v>1358</v>
      </c>
      <c r="HA355" s="5" t="s">
        <v>1</v>
      </c>
      <c r="HB355" s="4" t="s">
        <v>1</v>
      </c>
      <c r="HC355" t="s">
        <v>1</v>
      </c>
      <c r="HD355" t="s">
        <v>1</v>
      </c>
      <c r="HE355" t="s">
        <v>1</v>
      </c>
      <c r="HF355" s="5" t="s">
        <v>1</v>
      </c>
      <c r="HG355" s="4" t="s">
        <v>1</v>
      </c>
      <c r="HH355" t="s">
        <v>1</v>
      </c>
      <c r="HI355" t="s">
        <v>1</v>
      </c>
      <c r="HJ355" t="s">
        <v>1</v>
      </c>
      <c r="HK355" t="s">
        <v>1</v>
      </c>
      <c r="HL355" t="s">
        <v>1</v>
      </c>
      <c r="HM355" t="s">
        <v>1</v>
      </c>
      <c r="HN355" t="s">
        <v>1</v>
      </c>
      <c r="HO355" t="s">
        <v>1</v>
      </c>
      <c r="HP355" t="s">
        <v>1</v>
      </c>
      <c r="HZ355" t="s">
        <v>1</v>
      </c>
      <c r="IA355" t="s">
        <v>1</v>
      </c>
      <c r="IB355" s="10" t="s">
        <v>1</v>
      </c>
      <c r="IC355" s="10"/>
      <c r="ID355" s="10"/>
      <c r="IE355" s="10" t="s">
        <v>1</v>
      </c>
      <c r="IF355" s="10" t="s">
        <v>1</v>
      </c>
      <c r="IG355" s="10"/>
      <c r="IH355" s="10"/>
      <c r="II355" s="10"/>
      <c r="IJ355" s="10"/>
      <c r="IK355" s="10"/>
      <c r="IL355" s="10"/>
      <c r="IM355" s="10"/>
      <c r="IN355" s="10"/>
      <c r="IO355" s="10"/>
      <c r="IP355" s="10"/>
      <c r="IQ355" s="10"/>
      <c r="IR355" s="10"/>
      <c r="IS355" t="s">
        <v>1</v>
      </c>
      <c r="IT355" t="s">
        <v>1</v>
      </c>
      <c r="IW355" t="s">
        <v>979</v>
      </c>
      <c r="IX355">
        <v>135</v>
      </c>
      <c r="IY355" t="s">
        <v>808</v>
      </c>
      <c r="IZ355">
        <v>250</v>
      </c>
      <c r="JA355" t="s">
        <v>1</v>
      </c>
      <c r="JB355" s="3" t="s">
        <v>1</v>
      </c>
      <c r="JC355" t="s">
        <v>1</v>
      </c>
      <c r="JD355" s="4" t="s">
        <v>1</v>
      </c>
      <c r="JE355" t="s">
        <v>810</v>
      </c>
      <c r="JF355">
        <v>100</v>
      </c>
      <c r="JR355" t="s">
        <v>1066</v>
      </c>
      <c r="JS355">
        <v>509.1</v>
      </c>
      <c r="JU355" t="s">
        <v>1</v>
      </c>
      <c r="JW355" t="s">
        <v>1</v>
      </c>
      <c r="JX355">
        <v>0</v>
      </c>
      <c r="JY355">
        <v>80</v>
      </c>
      <c r="JZ355" t="s">
        <v>800</v>
      </c>
      <c r="KA355" t="s">
        <v>400</v>
      </c>
      <c r="KB355" t="s">
        <v>738</v>
      </c>
      <c r="KC355" t="s">
        <v>1</v>
      </c>
      <c r="KD355" t="s">
        <v>1</v>
      </c>
      <c r="KE355" s="1" t="s">
        <v>1</v>
      </c>
      <c r="KF355" t="s">
        <v>1</v>
      </c>
      <c r="KG355" t="s">
        <v>1</v>
      </c>
      <c r="KH355" t="s">
        <v>1</v>
      </c>
      <c r="KI355" t="s">
        <v>1</v>
      </c>
      <c r="KJ355" t="s">
        <v>1</v>
      </c>
      <c r="KK355" t="s">
        <v>1</v>
      </c>
    </row>
    <row r="356" spans="1:297" x14ac:dyDescent="0.2">
      <c r="A356">
        <v>324</v>
      </c>
      <c r="B356" t="s">
        <v>705</v>
      </c>
      <c r="C356" t="s">
        <v>89</v>
      </c>
      <c r="D356" t="s">
        <v>405</v>
      </c>
      <c r="E356">
        <v>59</v>
      </c>
      <c r="F356" t="s">
        <v>406</v>
      </c>
      <c r="G356" t="s">
        <v>1</v>
      </c>
      <c r="H356" s="26" t="s">
        <v>1420</v>
      </c>
      <c r="I356" t="s">
        <v>1</v>
      </c>
      <c r="J356" t="s">
        <v>1</v>
      </c>
      <c r="K356" t="s">
        <v>1</v>
      </c>
      <c r="L356" t="s">
        <v>1</v>
      </c>
      <c r="M356" t="s">
        <v>1</v>
      </c>
      <c r="N356" t="s">
        <v>1</v>
      </c>
      <c r="O356" t="s">
        <v>1</v>
      </c>
      <c r="P356" t="s">
        <v>1</v>
      </c>
      <c r="Q356" t="s">
        <v>1</v>
      </c>
      <c r="R356" t="s">
        <v>1</v>
      </c>
      <c r="S356" t="s">
        <v>1</v>
      </c>
      <c r="T356" t="s">
        <v>1</v>
      </c>
      <c r="U356" t="s">
        <v>1</v>
      </c>
      <c r="V356" t="s">
        <v>1</v>
      </c>
      <c r="W356" t="s">
        <v>1</v>
      </c>
      <c r="X356" t="s">
        <v>1</v>
      </c>
      <c r="Y356" t="s">
        <v>1</v>
      </c>
      <c r="Z356" t="s">
        <v>1</v>
      </c>
      <c r="AA356" t="s">
        <v>1</v>
      </c>
      <c r="AB356" t="s">
        <v>1</v>
      </c>
      <c r="AC356" t="s">
        <v>1</v>
      </c>
      <c r="AD356" t="s">
        <v>1</v>
      </c>
      <c r="AE356" t="s">
        <v>1</v>
      </c>
      <c r="AF356" t="s">
        <v>1</v>
      </c>
      <c r="AG356" t="s">
        <v>1</v>
      </c>
      <c r="AH356" t="s">
        <v>1</v>
      </c>
      <c r="AI356" t="s">
        <v>1</v>
      </c>
      <c r="AJ356" t="s">
        <v>1</v>
      </c>
      <c r="AK356" t="s">
        <v>1</v>
      </c>
      <c r="AL356" t="s">
        <v>1</v>
      </c>
      <c r="AM356" t="s">
        <v>1</v>
      </c>
      <c r="AN356">
        <v>324</v>
      </c>
      <c r="AO356">
        <f t="shared" si="45"/>
        <v>324</v>
      </c>
      <c r="AP356">
        <f t="shared" si="47"/>
        <v>59</v>
      </c>
      <c r="AQ356">
        <f t="shared" si="48"/>
        <v>59</v>
      </c>
      <c r="AR356" s="26" t="s">
        <v>1355</v>
      </c>
      <c r="AS356" s="26" t="s">
        <v>1356</v>
      </c>
      <c r="AT356" t="s">
        <v>728</v>
      </c>
      <c r="AU356" t="s">
        <v>1</v>
      </c>
      <c r="AV356" t="s">
        <v>1</v>
      </c>
      <c r="AW356">
        <v>60.8</v>
      </c>
      <c r="AX356">
        <v>23.49</v>
      </c>
      <c r="AY356" t="s">
        <v>737</v>
      </c>
      <c r="BA356" s="3">
        <v>4</v>
      </c>
      <c r="BB356" s="3"/>
      <c r="BC356" s="3"/>
      <c r="BD356" s="3"/>
      <c r="BE356" s="3"/>
      <c r="BF356">
        <v>1979</v>
      </c>
      <c r="BG356" s="24" t="s">
        <v>733</v>
      </c>
      <c r="BH356" s="24" t="s">
        <v>733</v>
      </c>
      <c r="BI356" s="24" t="s">
        <v>733</v>
      </c>
      <c r="BJ356" s="24" t="s">
        <v>732</v>
      </c>
      <c r="BK356" s="24" t="s">
        <v>733</v>
      </c>
      <c r="BL356" s="25" t="s">
        <v>733</v>
      </c>
      <c r="BM356" s="24" t="s">
        <v>733</v>
      </c>
      <c r="BN356" s="24" t="s">
        <v>732</v>
      </c>
      <c r="BO356" s="24" t="s">
        <v>733</v>
      </c>
      <c r="BP356" s="24" t="s">
        <v>733</v>
      </c>
      <c r="BQ356" s="24" t="s">
        <v>945</v>
      </c>
      <c r="BR356" s="24" t="s">
        <v>945</v>
      </c>
      <c r="BS356" s="25" t="s">
        <v>934</v>
      </c>
      <c r="BT356" s="24" t="s">
        <v>934</v>
      </c>
      <c r="BU356" s="24" t="s">
        <v>934</v>
      </c>
      <c r="BV356" s="24" t="s">
        <v>934</v>
      </c>
      <c r="BW356" s="24" t="s">
        <v>934</v>
      </c>
      <c r="BX356" s="24" t="s">
        <v>934</v>
      </c>
      <c r="BY356" s="25" t="s">
        <v>945</v>
      </c>
      <c r="BZ356" t="s">
        <v>1397</v>
      </c>
      <c r="CB356" t="s">
        <v>1405</v>
      </c>
      <c r="CC356" s="4">
        <f>AVERAGE(2550,680,2920)</f>
        <v>2050</v>
      </c>
      <c r="CD356" s="4"/>
      <c r="CE356" s="4"/>
      <c r="CF356" t="s">
        <v>793</v>
      </c>
      <c r="CG356">
        <v>100</v>
      </c>
      <c r="CH356" t="s">
        <v>805</v>
      </c>
      <c r="CI356" s="28">
        <f>AVERAGE(1.7,1.5,1.5)</f>
        <v>1.5666666666666667</v>
      </c>
      <c r="CJ356" s="10" t="s">
        <v>1442</v>
      </c>
      <c r="CK356" t="s">
        <v>807</v>
      </c>
      <c r="CL356" s="4">
        <f>AVERAGE(2750,670,1420)</f>
        <v>1613.3333333333333</v>
      </c>
      <c r="CM356" t="s">
        <v>847</v>
      </c>
      <c r="CN356" s="4">
        <f>AVERAGE(70,19,57)</f>
        <v>48.666666666666664</v>
      </c>
      <c r="CO356" s="4" t="s">
        <v>1</v>
      </c>
      <c r="CP356" s="4" t="s">
        <v>1</v>
      </c>
      <c r="CQ356" s="4" t="s">
        <v>1</v>
      </c>
      <c r="CR356" s="4" t="s">
        <v>1</v>
      </c>
      <c r="CS356" s="4" t="s">
        <v>1</v>
      </c>
      <c r="CT356" s="4" t="s">
        <v>1</v>
      </c>
      <c r="CU356" s="4" t="s">
        <v>1</v>
      </c>
      <c r="CV356" t="s">
        <v>849</v>
      </c>
      <c r="CW356">
        <v>100</v>
      </c>
      <c r="CX356">
        <v>0</v>
      </c>
      <c r="CY356">
        <v>30</v>
      </c>
      <c r="CZ356" s="26" t="s">
        <v>1358</v>
      </c>
      <c r="DA356" t="s">
        <v>734</v>
      </c>
      <c r="DB356">
        <v>18.3</v>
      </c>
      <c r="DC356">
        <v>0</v>
      </c>
      <c r="DD356">
        <v>30</v>
      </c>
      <c r="DE356" s="26" t="s">
        <v>1358</v>
      </c>
      <c r="DF356" t="s">
        <v>735</v>
      </c>
      <c r="DG356">
        <v>13.3</v>
      </c>
      <c r="DH356">
        <v>0</v>
      </c>
      <c r="DI356">
        <v>30</v>
      </c>
      <c r="DJ356" s="26" t="s">
        <v>1358</v>
      </c>
      <c r="DK356" t="s">
        <v>736</v>
      </c>
      <c r="DL356">
        <v>68.3</v>
      </c>
      <c r="DM356">
        <v>0</v>
      </c>
      <c r="DN356">
        <v>30</v>
      </c>
      <c r="DO356" s="26" t="s">
        <v>1358</v>
      </c>
      <c r="DP356" t="s">
        <v>6</v>
      </c>
      <c r="DQ356" t="s">
        <v>813</v>
      </c>
      <c r="DR356">
        <v>6</v>
      </c>
      <c r="DS356">
        <v>0</v>
      </c>
      <c r="DT356">
        <v>30</v>
      </c>
      <c r="DU356" s="26" t="s">
        <v>1358</v>
      </c>
      <c r="EA356" t="s">
        <v>982</v>
      </c>
      <c r="EB356">
        <v>27</v>
      </c>
      <c r="EC356">
        <v>0</v>
      </c>
      <c r="ED356">
        <v>30</v>
      </c>
      <c r="EE356" s="26" t="s">
        <v>1358</v>
      </c>
      <c r="EF356" s="26"/>
      <c r="FZ356" t="s">
        <v>806</v>
      </c>
      <c r="GA356">
        <v>590.33333330000005</v>
      </c>
      <c r="GE356" s="26" t="s">
        <v>1358</v>
      </c>
      <c r="HA356" s="5" t="s">
        <v>1</v>
      </c>
      <c r="HB356" s="4" t="s">
        <v>1</v>
      </c>
      <c r="HC356" t="s">
        <v>1</v>
      </c>
      <c r="HD356" t="s">
        <v>1</v>
      </c>
      <c r="HE356" t="s">
        <v>1</v>
      </c>
      <c r="HF356" s="5" t="s">
        <v>1</v>
      </c>
      <c r="HG356" s="4" t="s">
        <v>1</v>
      </c>
      <c r="HH356" t="s">
        <v>1</v>
      </c>
      <c r="HI356" t="s">
        <v>1</v>
      </c>
      <c r="HJ356" t="s">
        <v>1</v>
      </c>
      <c r="HK356" t="s">
        <v>1</v>
      </c>
      <c r="HL356" t="s">
        <v>1</v>
      </c>
      <c r="HM356" t="s">
        <v>1</v>
      </c>
      <c r="HN356" t="s">
        <v>1</v>
      </c>
      <c r="HO356" t="s">
        <v>1</v>
      </c>
      <c r="HP356" t="s">
        <v>1</v>
      </c>
      <c r="HZ356" t="s">
        <v>1</v>
      </c>
      <c r="IA356" t="s">
        <v>1</v>
      </c>
      <c r="IB356" s="10" t="s">
        <v>1</v>
      </c>
      <c r="IC356" s="10"/>
      <c r="ID356" s="10"/>
      <c r="IE356" s="10" t="s">
        <v>1</v>
      </c>
      <c r="IF356" s="10" t="s">
        <v>1</v>
      </c>
      <c r="IG356" s="10"/>
      <c r="IH356" s="10"/>
      <c r="II356" s="10"/>
      <c r="IJ356" s="10"/>
      <c r="IK356" s="10"/>
      <c r="IL356" s="10"/>
      <c r="IM356" s="10"/>
      <c r="IN356" s="10"/>
      <c r="IO356" s="10"/>
      <c r="IP356" s="10"/>
      <c r="IQ356" s="10"/>
      <c r="IR356" s="10"/>
      <c r="IS356" t="s">
        <v>1</v>
      </c>
      <c r="IT356" t="s">
        <v>1</v>
      </c>
      <c r="IW356" t="s">
        <v>1</v>
      </c>
      <c r="IX356" t="s">
        <v>1</v>
      </c>
      <c r="IY356" t="s">
        <v>1</v>
      </c>
      <c r="IZ356" t="s">
        <v>1</v>
      </c>
      <c r="JA356" t="s">
        <v>1</v>
      </c>
      <c r="JB356" s="3" t="s">
        <v>1</v>
      </c>
      <c r="JC356" t="s">
        <v>1</v>
      </c>
      <c r="JD356" s="4" t="s">
        <v>1</v>
      </c>
      <c r="JE356" t="s">
        <v>810</v>
      </c>
      <c r="JF356">
        <v>100</v>
      </c>
      <c r="JR356" t="s">
        <v>1066</v>
      </c>
      <c r="JS356">
        <v>93</v>
      </c>
      <c r="JU356" t="s">
        <v>1</v>
      </c>
      <c r="JW356" t="s">
        <v>1</v>
      </c>
      <c r="JX356">
        <v>0</v>
      </c>
      <c r="JY356">
        <v>100</v>
      </c>
      <c r="JZ356" t="s">
        <v>797</v>
      </c>
      <c r="KA356" t="s">
        <v>147</v>
      </c>
      <c r="KB356" t="s">
        <v>738</v>
      </c>
      <c r="KC356" t="s">
        <v>1</v>
      </c>
      <c r="KD356" t="s">
        <v>1</v>
      </c>
      <c r="KE356" s="1" t="s">
        <v>1</v>
      </c>
      <c r="KF356" t="s">
        <v>1</v>
      </c>
      <c r="KG356" t="s">
        <v>1</v>
      </c>
      <c r="KH356" t="s">
        <v>1</v>
      </c>
      <c r="KI356" t="s">
        <v>1</v>
      </c>
      <c r="KJ356" t="s">
        <v>1</v>
      </c>
      <c r="KK356" t="s">
        <v>1</v>
      </c>
    </row>
    <row r="357" spans="1:297" x14ac:dyDescent="0.2">
      <c r="A357">
        <v>325</v>
      </c>
      <c r="B357" t="s">
        <v>705</v>
      </c>
      <c r="C357" t="s">
        <v>407</v>
      </c>
      <c r="D357" t="s">
        <v>405</v>
      </c>
      <c r="E357">
        <v>59</v>
      </c>
      <c r="F357" t="s">
        <v>406</v>
      </c>
      <c r="G357" t="s">
        <v>1</v>
      </c>
      <c r="H357" s="26" t="s">
        <v>1420</v>
      </c>
      <c r="I357" t="s">
        <v>1</v>
      </c>
      <c r="J357" t="s">
        <v>1</v>
      </c>
      <c r="K357" t="s">
        <v>1</v>
      </c>
      <c r="L357" t="s">
        <v>1</v>
      </c>
      <c r="M357" t="s">
        <v>1</v>
      </c>
      <c r="N357" t="s">
        <v>1</v>
      </c>
      <c r="O357" t="s">
        <v>1</v>
      </c>
      <c r="P357" t="s">
        <v>1</v>
      </c>
      <c r="Q357" t="s">
        <v>1</v>
      </c>
      <c r="R357" t="s">
        <v>1</v>
      </c>
      <c r="S357" t="s">
        <v>1</v>
      </c>
      <c r="T357" t="s">
        <v>1</v>
      </c>
      <c r="U357" t="s">
        <v>1</v>
      </c>
      <c r="V357" t="s">
        <v>1</v>
      </c>
      <c r="W357" t="s">
        <v>1</v>
      </c>
      <c r="X357" t="s">
        <v>1</v>
      </c>
      <c r="Y357" t="s">
        <v>1</v>
      </c>
      <c r="Z357" t="s">
        <v>1</v>
      </c>
      <c r="AA357" t="s">
        <v>1</v>
      </c>
      <c r="AB357" t="s">
        <v>1</v>
      </c>
      <c r="AC357" t="s">
        <v>1</v>
      </c>
      <c r="AD357" t="s">
        <v>1</v>
      </c>
      <c r="AE357" t="s">
        <v>1</v>
      </c>
      <c r="AF357" t="s">
        <v>1</v>
      </c>
      <c r="AG357" t="s">
        <v>1</v>
      </c>
      <c r="AH357" t="s">
        <v>1</v>
      </c>
      <c r="AI357" t="s">
        <v>1</v>
      </c>
      <c r="AJ357" t="s">
        <v>1</v>
      </c>
      <c r="AK357" t="s">
        <v>1</v>
      </c>
      <c r="AL357" t="s">
        <v>1</v>
      </c>
      <c r="AM357" t="s">
        <v>1</v>
      </c>
      <c r="AN357">
        <v>325</v>
      </c>
      <c r="AO357">
        <f t="shared" si="45"/>
        <v>325</v>
      </c>
      <c r="AP357">
        <f t="shared" si="47"/>
        <v>59</v>
      </c>
      <c r="AQ357">
        <f t="shared" si="48"/>
        <v>59</v>
      </c>
      <c r="AR357" s="26" t="s">
        <v>1355</v>
      </c>
      <c r="AS357" s="26" t="s">
        <v>1356</v>
      </c>
      <c r="AT357" t="s">
        <v>728</v>
      </c>
      <c r="AU357" t="s">
        <v>1</v>
      </c>
      <c r="AV357" t="s">
        <v>1</v>
      </c>
      <c r="AW357">
        <v>60.8</v>
      </c>
      <c r="AX357">
        <v>23.49</v>
      </c>
      <c r="AY357" t="s">
        <v>737</v>
      </c>
      <c r="BA357" s="3">
        <v>4</v>
      </c>
      <c r="BB357" s="3"/>
      <c r="BC357" s="3"/>
      <c r="BD357" s="3"/>
      <c r="BE357" s="3"/>
      <c r="BF357">
        <v>1979</v>
      </c>
      <c r="BG357" s="24" t="s">
        <v>733</v>
      </c>
      <c r="BH357" s="24" t="s">
        <v>733</v>
      </c>
      <c r="BI357" s="24" t="s">
        <v>733</v>
      </c>
      <c r="BJ357" s="24" t="s">
        <v>732</v>
      </c>
      <c r="BK357" s="24" t="s">
        <v>733</v>
      </c>
      <c r="BL357" s="25" t="s">
        <v>733</v>
      </c>
      <c r="BM357" s="24" t="s">
        <v>733</v>
      </c>
      <c r="BN357" s="24" t="s">
        <v>732</v>
      </c>
      <c r="BO357" s="24" t="s">
        <v>733</v>
      </c>
      <c r="BP357" s="24" t="s">
        <v>733</v>
      </c>
      <c r="BQ357" s="24" t="s">
        <v>945</v>
      </c>
      <c r="BR357" s="24" t="s">
        <v>945</v>
      </c>
      <c r="BS357" s="25" t="s">
        <v>934</v>
      </c>
      <c r="BT357" s="24" t="s">
        <v>934</v>
      </c>
      <c r="BU357" s="24" t="s">
        <v>934</v>
      </c>
      <c r="BV357" s="24" t="s">
        <v>934</v>
      </c>
      <c r="BW357" s="24" t="s">
        <v>934</v>
      </c>
      <c r="BX357" s="24" t="s">
        <v>934</v>
      </c>
      <c r="BY357" s="25" t="s">
        <v>945</v>
      </c>
      <c r="BZ357" t="s">
        <v>1397</v>
      </c>
      <c r="CB357" t="s">
        <v>1405</v>
      </c>
      <c r="CC357" s="4">
        <f>AVERAGE(2550+880,680+600,2920+120)</f>
        <v>2583.3333333333335</v>
      </c>
      <c r="CD357" s="4"/>
      <c r="CE357" s="4"/>
      <c r="CF357" t="s">
        <v>793</v>
      </c>
      <c r="CG357">
        <v>100</v>
      </c>
      <c r="CH357" t="s">
        <v>805</v>
      </c>
      <c r="CI357" s="28">
        <f>AVERAGE(1.7,1.5,1.5)</f>
        <v>1.5666666666666667</v>
      </c>
      <c r="CJ357" s="10" t="s">
        <v>1442</v>
      </c>
      <c r="CK357" t="s">
        <v>807</v>
      </c>
      <c r="CL357" s="4">
        <f>AVERAGE(2750+1110,670+560,1420+180)</f>
        <v>2230</v>
      </c>
      <c r="CM357" t="s">
        <v>847</v>
      </c>
      <c r="CN357" s="4">
        <f>AVERAGE(70+30,19+13,57-1)</f>
        <v>62.666666666666664</v>
      </c>
      <c r="CO357" s="4" t="s">
        <v>1</v>
      </c>
      <c r="CP357" s="4" t="s">
        <v>1</v>
      </c>
      <c r="CQ357" s="4" t="s">
        <v>1</v>
      </c>
      <c r="CR357" s="4" t="s">
        <v>1</v>
      </c>
      <c r="CS357" s="4" t="s">
        <v>1</v>
      </c>
      <c r="CT357" s="4" t="s">
        <v>1</v>
      </c>
      <c r="CU357" s="4" t="s">
        <v>1</v>
      </c>
      <c r="CV357" t="s">
        <v>849</v>
      </c>
      <c r="CW357">
        <v>100</v>
      </c>
      <c r="CX357">
        <v>0</v>
      </c>
      <c r="CY357">
        <v>30</v>
      </c>
      <c r="CZ357" s="26" t="s">
        <v>1358</v>
      </c>
      <c r="DA357" t="s">
        <v>734</v>
      </c>
      <c r="DB357">
        <v>18.3</v>
      </c>
      <c r="DC357">
        <v>0</v>
      </c>
      <c r="DD357">
        <v>30</v>
      </c>
      <c r="DE357" s="26" t="s">
        <v>1358</v>
      </c>
      <c r="DF357" t="s">
        <v>735</v>
      </c>
      <c r="DG357">
        <v>13.3</v>
      </c>
      <c r="DH357">
        <v>0</v>
      </c>
      <c r="DI357">
        <v>30</v>
      </c>
      <c r="DJ357" s="26" t="s">
        <v>1358</v>
      </c>
      <c r="DK357" t="s">
        <v>736</v>
      </c>
      <c r="DL357">
        <v>68.3</v>
      </c>
      <c r="DM357">
        <v>0</v>
      </c>
      <c r="DN357">
        <v>30</v>
      </c>
      <c r="DO357" s="26" t="s">
        <v>1358</v>
      </c>
      <c r="DP357" t="s">
        <v>6</v>
      </c>
      <c r="DQ357" t="s">
        <v>813</v>
      </c>
      <c r="DR357">
        <v>6</v>
      </c>
      <c r="DS357">
        <v>0</v>
      </c>
      <c r="DT357">
        <v>30</v>
      </c>
      <c r="DU357" s="26" t="s">
        <v>1358</v>
      </c>
      <c r="EA357" t="s">
        <v>982</v>
      </c>
      <c r="EB357">
        <v>27</v>
      </c>
      <c r="EC357">
        <v>0</v>
      </c>
      <c r="ED357">
        <v>30</v>
      </c>
      <c r="EE357" s="26" t="s">
        <v>1358</v>
      </c>
      <c r="EF357" s="26"/>
      <c r="FZ357" t="s">
        <v>806</v>
      </c>
      <c r="GA357">
        <v>590.33333330000005</v>
      </c>
      <c r="GE357" s="26" t="s">
        <v>1358</v>
      </c>
      <c r="HA357" s="5" t="s">
        <v>1</v>
      </c>
      <c r="HB357" s="4" t="s">
        <v>1</v>
      </c>
      <c r="HC357" t="s">
        <v>1</v>
      </c>
      <c r="HD357" t="s">
        <v>1</v>
      </c>
      <c r="HE357" t="s">
        <v>1</v>
      </c>
      <c r="HF357" s="5" t="s">
        <v>1</v>
      </c>
      <c r="HG357" s="4" t="s">
        <v>1</v>
      </c>
      <c r="HH357" t="s">
        <v>1</v>
      </c>
      <c r="HI357" t="s">
        <v>1</v>
      </c>
      <c r="HJ357" t="s">
        <v>1</v>
      </c>
      <c r="HK357" t="s">
        <v>1</v>
      </c>
      <c r="HL357" t="s">
        <v>1</v>
      </c>
      <c r="HM357" t="s">
        <v>1</v>
      </c>
      <c r="HN357" t="s">
        <v>1</v>
      </c>
      <c r="HO357" t="s">
        <v>1</v>
      </c>
      <c r="HP357" t="s">
        <v>1</v>
      </c>
      <c r="HZ357" t="s">
        <v>968</v>
      </c>
      <c r="IA357">
        <v>67</v>
      </c>
      <c r="IB357" s="10" t="s">
        <v>1</v>
      </c>
      <c r="IC357" s="10"/>
      <c r="ID357" s="10"/>
      <c r="IE357" s="10" t="s">
        <v>1</v>
      </c>
      <c r="IF357" s="10" t="s">
        <v>1</v>
      </c>
      <c r="IG357" s="10"/>
      <c r="IH357" s="10"/>
      <c r="II357" s="10"/>
      <c r="IJ357" s="10"/>
      <c r="IK357" s="10"/>
      <c r="IL357" s="10"/>
      <c r="IM357" s="10"/>
      <c r="IN357" s="10"/>
      <c r="IO357" s="10"/>
      <c r="IP357" s="10"/>
      <c r="IQ357" s="10"/>
      <c r="IR357" s="10"/>
      <c r="IS357" t="s">
        <v>1</v>
      </c>
      <c r="IT357" t="s">
        <v>1</v>
      </c>
      <c r="IW357" t="s">
        <v>1</v>
      </c>
      <c r="IX357" t="s">
        <v>1</v>
      </c>
      <c r="IY357" t="s">
        <v>1</v>
      </c>
      <c r="IZ357" t="s">
        <v>1</v>
      </c>
      <c r="JA357" t="s">
        <v>1</v>
      </c>
      <c r="JB357" s="3" t="s">
        <v>1</v>
      </c>
      <c r="JC357" t="s">
        <v>1</v>
      </c>
      <c r="JD357" s="4" t="s">
        <v>1</v>
      </c>
      <c r="JE357" t="s">
        <v>810</v>
      </c>
      <c r="JF357">
        <v>100</v>
      </c>
      <c r="JR357" t="s">
        <v>1066</v>
      </c>
      <c r="JS357">
        <v>152</v>
      </c>
      <c r="JU357" t="s">
        <v>1</v>
      </c>
      <c r="JW357" t="s">
        <v>1</v>
      </c>
      <c r="JX357">
        <v>0</v>
      </c>
      <c r="JY357">
        <v>100</v>
      </c>
      <c r="JZ357" t="s">
        <v>797</v>
      </c>
      <c r="KA357" t="s">
        <v>147</v>
      </c>
      <c r="KB357" t="s">
        <v>738</v>
      </c>
      <c r="KC357" t="s">
        <v>1</v>
      </c>
      <c r="KD357" t="s">
        <v>1</v>
      </c>
      <c r="KE357" s="1" t="s">
        <v>1</v>
      </c>
      <c r="KF357" t="s">
        <v>1</v>
      </c>
      <c r="KG357" t="s">
        <v>1</v>
      </c>
      <c r="KH357" t="s">
        <v>1</v>
      </c>
      <c r="KI357" t="s">
        <v>1</v>
      </c>
      <c r="KJ357" t="s">
        <v>1</v>
      </c>
      <c r="KK357" t="s">
        <v>1</v>
      </c>
    </row>
    <row r="358" spans="1:297" x14ac:dyDescent="0.2">
      <c r="A358">
        <v>326</v>
      </c>
      <c r="B358" t="s">
        <v>705</v>
      </c>
      <c r="C358" t="s">
        <v>408</v>
      </c>
      <c r="D358" t="s">
        <v>405</v>
      </c>
      <c r="E358">
        <v>59</v>
      </c>
      <c r="F358" t="s">
        <v>406</v>
      </c>
      <c r="G358" t="s">
        <v>1</v>
      </c>
      <c r="H358" s="26" t="s">
        <v>1420</v>
      </c>
      <c r="I358" t="s">
        <v>1</v>
      </c>
      <c r="J358" t="s">
        <v>1</v>
      </c>
      <c r="K358" t="s">
        <v>1</v>
      </c>
      <c r="L358" t="s">
        <v>1</v>
      </c>
      <c r="M358" t="s">
        <v>1</v>
      </c>
      <c r="N358" t="s">
        <v>1</v>
      </c>
      <c r="O358" t="s">
        <v>1</v>
      </c>
      <c r="P358" t="s">
        <v>1</v>
      </c>
      <c r="Q358" t="s">
        <v>1</v>
      </c>
      <c r="R358" t="s">
        <v>1</v>
      </c>
      <c r="S358" t="s">
        <v>1</v>
      </c>
      <c r="T358" t="s">
        <v>1</v>
      </c>
      <c r="U358" t="s">
        <v>1</v>
      </c>
      <c r="V358" t="s">
        <v>1</v>
      </c>
      <c r="W358" t="s">
        <v>1</v>
      </c>
      <c r="X358" t="s">
        <v>1</v>
      </c>
      <c r="Y358" t="s">
        <v>1</v>
      </c>
      <c r="Z358" t="s">
        <v>1</v>
      </c>
      <c r="AA358" t="s">
        <v>1</v>
      </c>
      <c r="AB358" t="s">
        <v>1</v>
      </c>
      <c r="AC358" t="s">
        <v>1</v>
      </c>
      <c r="AD358" t="s">
        <v>1</v>
      </c>
      <c r="AE358" t="s">
        <v>1</v>
      </c>
      <c r="AF358" t="s">
        <v>1</v>
      </c>
      <c r="AG358" t="s">
        <v>1</v>
      </c>
      <c r="AH358" t="s">
        <v>1</v>
      </c>
      <c r="AI358" t="s">
        <v>1</v>
      </c>
      <c r="AJ358" t="s">
        <v>1</v>
      </c>
      <c r="AK358" t="s">
        <v>1</v>
      </c>
      <c r="AL358" t="s">
        <v>1</v>
      </c>
      <c r="AM358" t="s">
        <v>1</v>
      </c>
      <c r="AN358">
        <v>326</v>
      </c>
      <c r="AO358">
        <f t="shared" si="45"/>
        <v>326</v>
      </c>
      <c r="AP358">
        <f t="shared" si="47"/>
        <v>59</v>
      </c>
      <c r="AQ358">
        <f t="shared" si="48"/>
        <v>59</v>
      </c>
      <c r="AR358" s="26" t="s">
        <v>1355</v>
      </c>
      <c r="AS358" s="26" t="s">
        <v>1356</v>
      </c>
      <c r="AT358" t="s">
        <v>728</v>
      </c>
      <c r="AU358" t="s">
        <v>1</v>
      </c>
      <c r="AV358" t="s">
        <v>1</v>
      </c>
      <c r="AW358">
        <v>60.8</v>
      </c>
      <c r="AX358">
        <v>23.49</v>
      </c>
      <c r="AY358" t="s">
        <v>737</v>
      </c>
      <c r="BA358" s="3">
        <v>4</v>
      </c>
      <c r="BB358" s="3"/>
      <c r="BC358" s="3"/>
      <c r="BD358" s="3"/>
      <c r="BE358" s="3"/>
      <c r="BF358">
        <v>1979</v>
      </c>
      <c r="BG358" s="24" t="s">
        <v>733</v>
      </c>
      <c r="BH358" s="24" t="s">
        <v>733</v>
      </c>
      <c r="BI358" s="24" t="s">
        <v>733</v>
      </c>
      <c r="BJ358" s="24" t="s">
        <v>732</v>
      </c>
      <c r="BK358" s="24" t="s">
        <v>733</v>
      </c>
      <c r="BL358" s="25" t="s">
        <v>733</v>
      </c>
      <c r="BM358" s="24" t="s">
        <v>733</v>
      </c>
      <c r="BN358" s="24" t="s">
        <v>732</v>
      </c>
      <c r="BO358" s="24" t="s">
        <v>733</v>
      </c>
      <c r="BP358" s="24" t="s">
        <v>733</v>
      </c>
      <c r="BQ358" s="24" t="s">
        <v>945</v>
      </c>
      <c r="BR358" s="24" t="s">
        <v>945</v>
      </c>
      <c r="BS358" s="25" t="s">
        <v>934</v>
      </c>
      <c r="BT358" s="24" t="s">
        <v>934</v>
      </c>
      <c r="BU358" s="24" t="s">
        <v>934</v>
      </c>
      <c r="BV358" s="24" t="s">
        <v>934</v>
      </c>
      <c r="BW358" s="24" t="s">
        <v>934</v>
      </c>
      <c r="BX358" s="24" t="s">
        <v>934</v>
      </c>
      <c r="BY358" s="25" t="s">
        <v>945</v>
      </c>
      <c r="BZ358" t="s">
        <v>1397</v>
      </c>
      <c r="CB358" t="s">
        <v>1405</v>
      </c>
      <c r="CC358" s="4">
        <f>AVERAGE(2550+890,680+1550,2920+20)</f>
        <v>2870</v>
      </c>
      <c r="CD358" s="4"/>
      <c r="CE358" s="4"/>
      <c r="CF358" t="s">
        <v>793</v>
      </c>
      <c r="CG358">
        <v>100</v>
      </c>
      <c r="CH358" t="s">
        <v>805</v>
      </c>
      <c r="CI358" s="28">
        <f>AVERAGE(1.7,1.5,1.5)</f>
        <v>1.5666666666666667</v>
      </c>
      <c r="CJ358" s="10" t="s">
        <v>1442</v>
      </c>
      <c r="CK358" t="s">
        <v>807</v>
      </c>
      <c r="CL358" s="4">
        <f>AVERAGE(2750+1050,670+1540,1420+40)</f>
        <v>2490</v>
      </c>
      <c r="CM358" t="s">
        <v>847</v>
      </c>
      <c r="CN358" s="4">
        <f>AVERAGE(70+34,19+40,57-2)</f>
        <v>72.666666666666671</v>
      </c>
      <c r="CO358" s="4" t="s">
        <v>1</v>
      </c>
      <c r="CP358" s="4" t="s">
        <v>1</v>
      </c>
      <c r="CQ358" s="4" t="s">
        <v>1</v>
      </c>
      <c r="CR358" s="4" t="s">
        <v>1</v>
      </c>
      <c r="CS358" s="4" t="s">
        <v>1</v>
      </c>
      <c r="CT358" s="4" t="s">
        <v>1</v>
      </c>
      <c r="CU358" s="4" t="s">
        <v>1</v>
      </c>
      <c r="CV358" t="s">
        <v>849</v>
      </c>
      <c r="CW358">
        <v>100</v>
      </c>
      <c r="CX358">
        <v>0</v>
      </c>
      <c r="CY358">
        <v>30</v>
      </c>
      <c r="CZ358" s="26" t="s">
        <v>1358</v>
      </c>
      <c r="DA358" t="s">
        <v>734</v>
      </c>
      <c r="DB358">
        <v>18.3</v>
      </c>
      <c r="DC358">
        <v>0</v>
      </c>
      <c r="DD358">
        <v>30</v>
      </c>
      <c r="DE358" s="26" t="s">
        <v>1358</v>
      </c>
      <c r="DF358" t="s">
        <v>735</v>
      </c>
      <c r="DG358">
        <v>13.3</v>
      </c>
      <c r="DH358">
        <v>0</v>
      </c>
      <c r="DI358">
        <v>30</v>
      </c>
      <c r="DJ358" s="26" t="s">
        <v>1358</v>
      </c>
      <c r="DK358" t="s">
        <v>736</v>
      </c>
      <c r="DL358">
        <v>68.3</v>
      </c>
      <c r="DM358">
        <v>0</v>
      </c>
      <c r="DN358">
        <v>30</v>
      </c>
      <c r="DO358" s="26" t="s">
        <v>1358</v>
      </c>
      <c r="DP358" t="s">
        <v>6</v>
      </c>
      <c r="DQ358" t="s">
        <v>813</v>
      </c>
      <c r="DR358">
        <v>6</v>
      </c>
      <c r="DS358">
        <v>0</v>
      </c>
      <c r="DT358">
        <v>30</v>
      </c>
      <c r="DU358" s="26" t="s">
        <v>1358</v>
      </c>
      <c r="EA358" t="s">
        <v>982</v>
      </c>
      <c r="EB358">
        <v>27</v>
      </c>
      <c r="EC358">
        <v>0</v>
      </c>
      <c r="ED358">
        <v>30</v>
      </c>
      <c r="EE358" s="26" t="s">
        <v>1358</v>
      </c>
      <c r="EF358" s="26"/>
      <c r="FZ358" t="s">
        <v>806</v>
      </c>
      <c r="GA358">
        <v>590.33333330000005</v>
      </c>
      <c r="GE358" s="26" t="s">
        <v>1358</v>
      </c>
      <c r="HA358" s="5" t="s">
        <v>1</v>
      </c>
      <c r="HB358" s="4" t="s">
        <v>1</v>
      </c>
      <c r="HC358" t="s">
        <v>1</v>
      </c>
      <c r="HD358" t="s">
        <v>1</v>
      </c>
      <c r="HE358" t="s">
        <v>1</v>
      </c>
      <c r="HF358" s="5" t="s">
        <v>1</v>
      </c>
      <c r="HG358" s="4" t="s">
        <v>1</v>
      </c>
      <c r="HH358" t="s">
        <v>1</v>
      </c>
      <c r="HI358" t="s">
        <v>1</v>
      </c>
      <c r="HJ358" t="s">
        <v>1</v>
      </c>
      <c r="HK358" t="s">
        <v>1</v>
      </c>
      <c r="HL358" t="s">
        <v>1</v>
      </c>
      <c r="HM358" t="s">
        <v>1</v>
      </c>
      <c r="HN358" t="s">
        <v>1</v>
      </c>
      <c r="HO358" t="s">
        <v>1</v>
      </c>
      <c r="HP358" t="s">
        <v>1</v>
      </c>
      <c r="HZ358" t="s">
        <v>968</v>
      </c>
      <c r="IA358">
        <v>67</v>
      </c>
      <c r="IB358" s="10" t="s">
        <v>1</v>
      </c>
      <c r="IC358" s="10"/>
      <c r="ID358" s="10"/>
      <c r="IE358" s="10" t="s">
        <v>1</v>
      </c>
      <c r="IF358" s="10" t="s">
        <v>1</v>
      </c>
      <c r="IG358" s="10"/>
      <c r="IH358" s="10"/>
      <c r="II358" s="10"/>
      <c r="IJ358" s="10"/>
      <c r="IK358" s="10"/>
      <c r="IL358" s="10"/>
      <c r="IM358" s="10"/>
      <c r="IN358" s="10"/>
      <c r="IO358" s="10"/>
      <c r="IP358" s="10"/>
      <c r="IQ358" s="10"/>
      <c r="IR358" s="10"/>
      <c r="IS358" t="s">
        <v>1</v>
      </c>
      <c r="IT358" t="s">
        <v>1</v>
      </c>
      <c r="IW358" t="s">
        <v>1</v>
      </c>
      <c r="IX358" t="s">
        <v>1</v>
      </c>
      <c r="IY358" t="s">
        <v>1</v>
      </c>
      <c r="IZ358" t="s">
        <v>1</v>
      </c>
      <c r="JA358" t="s">
        <v>1</v>
      </c>
      <c r="JB358" s="3" t="s">
        <v>1</v>
      </c>
      <c r="JC358" t="s">
        <v>1</v>
      </c>
      <c r="JD358" s="4" t="s">
        <v>1</v>
      </c>
      <c r="JE358" t="s">
        <v>810</v>
      </c>
      <c r="JF358">
        <v>100</v>
      </c>
      <c r="JR358" t="s">
        <v>1066</v>
      </c>
      <c r="JS358">
        <v>121</v>
      </c>
      <c r="JU358" t="s">
        <v>1</v>
      </c>
      <c r="JW358" t="s">
        <v>1</v>
      </c>
      <c r="JX358">
        <v>0</v>
      </c>
      <c r="JY358">
        <v>100</v>
      </c>
      <c r="JZ358" t="s">
        <v>797</v>
      </c>
      <c r="KA358" t="s">
        <v>147</v>
      </c>
      <c r="KB358" t="s">
        <v>738</v>
      </c>
      <c r="KC358" t="s">
        <v>1</v>
      </c>
      <c r="KD358" t="s">
        <v>1</v>
      </c>
      <c r="KE358" s="1" t="s">
        <v>1</v>
      </c>
      <c r="KF358" t="s">
        <v>1</v>
      </c>
      <c r="KG358" t="s">
        <v>1</v>
      </c>
      <c r="KH358" t="s">
        <v>1</v>
      </c>
      <c r="KI358" t="s">
        <v>1</v>
      </c>
      <c r="KJ358" t="s">
        <v>1</v>
      </c>
      <c r="KK358" t="s">
        <v>1</v>
      </c>
    </row>
    <row r="359" spans="1:297" x14ac:dyDescent="0.2">
      <c r="A359">
        <v>327</v>
      </c>
      <c r="B359" t="s">
        <v>705</v>
      </c>
      <c r="C359" t="s">
        <v>409</v>
      </c>
      <c r="D359" t="s">
        <v>405</v>
      </c>
      <c r="E359">
        <v>59</v>
      </c>
      <c r="F359" t="s">
        <v>406</v>
      </c>
      <c r="G359" t="s">
        <v>1</v>
      </c>
      <c r="H359" s="26" t="s">
        <v>1420</v>
      </c>
      <c r="I359" t="s">
        <v>1</v>
      </c>
      <c r="J359" t="s">
        <v>1</v>
      </c>
      <c r="K359" t="s">
        <v>1</v>
      </c>
      <c r="L359" t="s">
        <v>1</v>
      </c>
      <c r="M359" t="s">
        <v>1</v>
      </c>
      <c r="N359" t="s">
        <v>1</v>
      </c>
      <c r="O359" t="s">
        <v>1</v>
      </c>
      <c r="P359" t="s">
        <v>1</v>
      </c>
      <c r="Q359" t="s">
        <v>1</v>
      </c>
      <c r="R359" t="s">
        <v>1</v>
      </c>
      <c r="S359" t="s">
        <v>1</v>
      </c>
      <c r="T359" t="s">
        <v>1</v>
      </c>
      <c r="U359" t="s">
        <v>1</v>
      </c>
      <c r="V359" t="s">
        <v>1</v>
      </c>
      <c r="W359" t="s">
        <v>1</v>
      </c>
      <c r="X359" t="s">
        <v>1</v>
      </c>
      <c r="Y359" t="s">
        <v>1</v>
      </c>
      <c r="Z359" t="s">
        <v>1</v>
      </c>
      <c r="AA359" t="s">
        <v>1</v>
      </c>
      <c r="AB359" t="s">
        <v>1</v>
      </c>
      <c r="AC359" t="s">
        <v>1</v>
      </c>
      <c r="AD359" t="s">
        <v>1</v>
      </c>
      <c r="AE359" t="s">
        <v>1</v>
      </c>
      <c r="AF359" t="s">
        <v>1</v>
      </c>
      <c r="AG359" t="s">
        <v>1</v>
      </c>
      <c r="AH359" t="s">
        <v>1</v>
      </c>
      <c r="AI359" t="s">
        <v>1</v>
      </c>
      <c r="AJ359" t="s">
        <v>1</v>
      </c>
      <c r="AK359" t="s">
        <v>1</v>
      </c>
      <c r="AL359" t="s">
        <v>1</v>
      </c>
      <c r="AM359" t="s">
        <v>1</v>
      </c>
      <c r="AN359">
        <v>327</v>
      </c>
      <c r="AO359">
        <f t="shared" si="45"/>
        <v>327</v>
      </c>
      <c r="AP359">
        <f t="shared" si="47"/>
        <v>59</v>
      </c>
      <c r="AQ359">
        <f t="shared" si="48"/>
        <v>59</v>
      </c>
      <c r="AR359" s="26" t="s">
        <v>1355</v>
      </c>
      <c r="AS359" s="26" t="s">
        <v>1356</v>
      </c>
      <c r="AT359" t="s">
        <v>728</v>
      </c>
      <c r="AU359" t="s">
        <v>1</v>
      </c>
      <c r="AV359" t="s">
        <v>1</v>
      </c>
      <c r="AW359">
        <v>60.8</v>
      </c>
      <c r="AX359">
        <v>23.49</v>
      </c>
      <c r="AY359" t="s">
        <v>737</v>
      </c>
      <c r="BA359" s="3">
        <v>4</v>
      </c>
      <c r="BB359" s="3"/>
      <c r="BC359" s="3"/>
      <c r="BD359" s="3"/>
      <c r="BE359" s="3"/>
      <c r="BF359">
        <v>1979</v>
      </c>
      <c r="BG359" s="24" t="s">
        <v>733</v>
      </c>
      <c r="BH359" s="24" t="s">
        <v>733</v>
      </c>
      <c r="BI359" s="24" t="s">
        <v>733</v>
      </c>
      <c r="BJ359" s="24" t="s">
        <v>732</v>
      </c>
      <c r="BK359" s="24" t="s">
        <v>733</v>
      </c>
      <c r="BL359" s="25" t="s">
        <v>733</v>
      </c>
      <c r="BM359" s="24" t="s">
        <v>733</v>
      </c>
      <c r="BN359" s="24" t="s">
        <v>732</v>
      </c>
      <c r="BO359" s="24" t="s">
        <v>733</v>
      </c>
      <c r="BP359" s="24" t="s">
        <v>733</v>
      </c>
      <c r="BQ359" s="24" t="s">
        <v>945</v>
      </c>
      <c r="BR359" s="24" t="s">
        <v>945</v>
      </c>
      <c r="BS359" s="25" t="s">
        <v>934</v>
      </c>
      <c r="BT359" s="24" t="s">
        <v>934</v>
      </c>
      <c r="BU359" s="24" t="s">
        <v>934</v>
      </c>
      <c r="BV359" s="24" t="s">
        <v>934</v>
      </c>
      <c r="BW359" s="24" t="s">
        <v>934</v>
      </c>
      <c r="BX359" s="24" t="s">
        <v>934</v>
      </c>
      <c r="BY359" s="25" t="s">
        <v>945</v>
      </c>
      <c r="BZ359" t="s">
        <v>1397</v>
      </c>
      <c r="CB359" t="s">
        <v>1405</v>
      </c>
      <c r="CC359" s="4">
        <f>AVERAGE(2550+830,680+1840,2920+190)</f>
        <v>3003.3333333333335</v>
      </c>
      <c r="CD359" s="4"/>
      <c r="CE359" s="4"/>
      <c r="CF359" t="s">
        <v>793</v>
      </c>
      <c r="CG359">
        <v>100</v>
      </c>
      <c r="CH359" t="s">
        <v>805</v>
      </c>
      <c r="CI359" s="28">
        <f>AVERAGE(1.7,1.5,1.5)</f>
        <v>1.5666666666666667</v>
      </c>
      <c r="CJ359" s="10" t="s">
        <v>1442</v>
      </c>
      <c r="CK359" t="s">
        <v>807</v>
      </c>
      <c r="CL359" s="4">
        <f>AVERAGE(2750+1170,670+1870,1420+70)</f>
        <v>2650</v>
      </c>
      <c r="CM359" t="s">
        <v>847</v>
      </c>
      <c r="CN359" s="4">
        <f>AVERAGE(70+52,19+56,57+0)</f>
        <v>84.666666666666671</v>
      </c>
      <c r="CO359" s="4" t="s">
        <v>1</v>
      </c>
      <c r="CP359" s="4" t="s">
        <v>1</v>
      </c>
      <c r="CQ359" s="4" t="s">
        <v>1</v>
      </c>
      <c r="CR359" s="4" t="s">
        <v>1</v>
      </c>
      <c r="CS359" s="4" t="s">
        <v>1</v>
      </c>
      <c r="CT359" s="4" t="s">
        <v>1</v>
      </c>
      <c r="CU359" s="4" t="s">
        <v>1</v>
      </c>
      <c r="CV359" t="s">
        <v>849</v>
      </c>
      <c r="CW359">
        <v>100</v>
      </c>
      <c r="CX359">
        <v>0</v>
      </c>
      <c r="CY359">
        <v>30</v>
      </c>
      <c r="CZ359" s="26" t="s">
        <v>1358</v>
      </c>
      <c r="DA359" t="s">
        <v>734</v>
      </c>
      <c r="DB359">
        <v>18.3</v>
      </c>
      <c r="DC359">
        <v>0</v>
      </c>
      <c r="DD359">
        <v>30</v>
      </c>
      <c r="DE359" s="26" t="s">
        <v>1358</v>
      </c>
      <c r="DF359" t="s">
        <v>735</v>
      </c>
      <c r="DG359">
        <v>13.3</v>
      </c>
      <c r="DH359">
        <v>0</v>
      </c>
      <c r="DI359">
        <v>30</v>
      </c>
      <c r="DJ359" s="26" t="s">
        <v>1358</v>
      </c>
      <c r="DK359" t="s">
        <v>736</v>
      </c>
      <c r="DL359">
        <v>68.3</v>
      </c>
      <c r="DM359">
        <v>0</v>
      </c>
      <c r="DN359">
        <v>30</v>
      </c>
      <c r="DO359" s="26" t="s">
        <v>1358</v>
      </c>
      <c r="DP359" t="s">
        <v>6</v>
      </c>
      <c r="DQ359" t="s">
        <v>813</v>
      </c>
      <c r="DR359">
        <v>6</v>
      </c>
      <c r="DS359">
        <v>0</v>
      </c>
      <c r="DT359">
        <v>30</v>
      </c>
      <c r="DU359" s="26" t="s">
        <v>1358</v>
      </c>
      <c r="EA359" t="s">
        <v>982</v>
      </c>
      <c r="EB359">
        <v>27</v>
      </c>
      <c r="EC359">
        <v>0</v>
      </c>
      <c r="ED359">
        <v>30</v>
      </c>
      <c r="EE359" s="26" t="s">
        <v>1358</v>
      </c>
      <c r="EF359" s="26"/>
      <c r="FZ359" t="s">
        <v>806</v>
      </c>
      <c r="GA359">
        <v>590.33333330000005</v>
      </c>
      <c r="GE359" s="26" t="s">
        <v>1358</v>
      </c>
      <c r="HA359" s="5" t="s">
        <v>1</v>
      </c>
      <c r="HB359" s="4" t="s">
        <v>1</v>
      </c>
      <c r="HC359" t="s">
        <v>1</v>
      </c>
      <c r="HD359" t="s">
        <v>1</v>
      </c>
      <c r="HE359" t="s">
        <v>1</v>
      </c>
      <c r="HF359" s="5" t="s">
        <v>1</v>
      </c>
      <c r="HG359" s="4" t="s">
        <v>1</v>
      </c>
      <c r="HH359" t="s">
        <v>1</v>
      </c>
      <c r="HI359" t="s">
        <v>1</v>
      </c>
      <c r="HJ359" t="s">
        <v>1</v>
      </c>
      <c r="HK359" t="s">
        <v>1</v>
      </c>
      <c r="HL359" t="s">
        <v>1</v>
      </c>
      <c r="HM359" t="s">
        <v>1</v>
      </c>
      <c r="HN359" t="s">
        <v>1</v>
      </c>
      <c r="HO359" t="s">
        <v>1</v>
      </c>
      <c r="HP359" t="s">
        <v>1</v>
      </c>
      <c r="HZ359" t="s">
        <v>968</v>
      </c>
      <c r="IA359">
        <v>67</v>
      </c>
      <c r="IB359" s="10" t="s">
        <v>1</v>
      </c>
      <c r="IC359" s="10"/>
      <c r="ID359" s="10"/>
      <c r="IE359" s="10" t="s">
        <v>1</v>
      </c>
      <c r="IF359" s="10" t="s">
        <v>1</v>
      </c>
      <c r="IG359" s="10"/>
      <c r="IH359" s="10"/>
      <c r="II359" s="10"/>
      <c r="IJ359" s="10"/>
      <c r="IK359" s="10"/>
      <c r="IL359" s="10"/>
      <c r="IM359" s="10"/>
      <c r="IN359" s="10"/>
      <c r="IO359" s="10"/>
      <c r="IP359" s="10"/>
      <c r="IQ359" s="10"/>
      <c r="IR359" s="10"/>
      <c r="IS359" t="s">
        <v>1</v>
      </c>
      <c r="IT359" t="s">
        <v>1</v>
      </c>
      <c r="IW359" t="s">
        <v>1</v>
      </c>
      <c r="IX359" t="s">
        <v>1</v>
      </c>
      <c r="IY359" t="s">
        <v>1</v>
      </c>
      <c r="IZ359" t="s">
        <v>1</v>
      </c>
      <c r="JA359" t="s">
        <v>1</v>
      </c>
      <c r="JB359" s="3" t="s">
        <v>1</v>
      </c>
      <c r="JC359" t="s">
        <v>1</v>
      </c>
      <c r="JD359" s="4" t="s">
        <v>1</v>
      </c>
      <c r="JE359" t="s">
        <v>810</v>
      </c>
      <c r="JF359">
        <v>100</v>
      </c>
      <c r="JR359" t="s">
        <v>1066</v>
      </c>
      <c r="JS359">
        <v>101.8</v>
      </c>
      <c r="JU359" t="s">
        <v>1</v>
      </c>
      <c r="JW359" t="s">
        <v>1</v>
      </c>
      <c r="JX359">
        <v>0</v>
      </c>
      <c r="JY359">
        <v>100</v>
      </c>
      <c r="JZ359" t="s">
        <v>797</v>
      </c>
      <c r="KA359" t="s">
        <v>147</v>
      </c>
      <c r="KB359" t="s">
        <v>738</v>
      </c>
      <c r="KC359" t="s">
        <v>1</v>
      </c>
      <c r="KD359" t="s">
        <v>1</v>
      </c>
      <c r="KE359" s="1" t="s">
        <v>1</v>
      </c>
      <c r="KF359" t="s">
        <v>1</v>
      </c>
      <c r="KG359" t="s">
        <v>1</v>
      </c>
      <c r="KH359" t="s">
        <v>1</v>
      </c>
      <c r="KI359" t="s">
        <v>1</v>
      </c>
      <c r="KJ359" t="s">
        <v>1</v>
      </c>
      <c r="KK359" t="s">
        <v>1</v>
      </c>
    </row>
    <row r="360" spans="1:297" x14ac:dyDescent="0.2">
      <c r="A360">
        <v>328</v>
      </c>
      <c r="B360" t="s">
        <v>705</v>
      </c>
      <c r="C360" t="s">
        <v>14</v>
      </c>
      <c r="D360" t="s">
        <v>405</v>
      </c>
      <c r="E360">
        <v>59</v>
      </c>
      <c r="F360" t="s">
        <v>406</v>
      </c>
      <c r="G360" t="s">
        <v>1</v>
      </c>
      <c r="H360" s="26" t="s">
        <v>1420</v>
      </c>
      <c r="I360" t="s">
        <v>1</v>
      </c>
      <c r="J360" t="s">
        <v>1</v>
      </c>
      <c r="K360" t="s">
        <v>1</v>
      </c>
      <c r="L360" t="s">
        <v>1</v>
      </c>
      <c r="M360" t="s">
        <v>1</v>
      </c>
      <c r="N360" t="s">
        <v>1</v>
      </c>
      <c r="O360" t="s">
        <v>1</v>
      </c>
      <c r="P360" t="s">
        <v>1</v>
      </c>
      <c r="Q360" t="s">
        <v>1</v>
      </c>
      <c r="R360" t="s">
        <v>1</v>
      </c>
      <c r="S360" t="s">
        <v>1</v>
      </c>
      <c r="T360" t="s">
        <v>1</v>
      </c>
      <c r="U360" t="s">
        <v>1</v>
      </c>
      <c r="V360" t="s">
        <v>1</v>
      </c>
      <c r="W360" t="s">
        <v>1</v>
      </c>
      <c r="X360" t="s">
        <v>1</v>
      </c>
      <c r="Y360" t="s">
        <v>1</v>
      </c>
      <c r="Z360" t="s">
        <v>1</v>
      </c>
      <c r="AA360" t="s">
        <v>1</v>
      </c>
      <c r="AB360" t="s">
        <v>1</v>
      </c>
      <c r="AC360" t="s">
        <v>1</v>
      </c>
      <c r="AD360" t="s">
        <v>1</v>
      </c>
      <c r="AE360" t="s">
        <v>1</v>
      </c>
      <c r="AF360" t="s">
        <v>1</v>
      </c>
      <c r="AG360" t="s">
        <v>1</v>
      </c>
      <c r="AH360" t="s">
        <v>1</v>
      </c>
      <c r="AI360" t="s">
        <v>1</v>
      </c>
      <c r="AJ360" t="s">
        <v>1</v>
      </c>
      <c r="AK360" t="s">
        <v>1</v>
      </c>
      <c r="AL360" t="s">
        <v>1</v>
      </c>
      <c r="AM360" t="s">
        <v>1</v>
      </c>
      <c r="AN360">
        <v>328</v>
      </c>
      <c r="AO360">
        <f t="shared" si="45"/>
        <v>328</v>
      </c>
      <c r="AP360">
        <f t="shared" si="47"/>
        <v>59</v>
      </c>
      <c r="AQ360">
        <f t="shared" si="48"/>
        <v>59</v>
      </c>
      <c r="AR360" s="26" t="s">
        <v>1355</v>
      </c>
      <c r="AS360" s="26" t="s">
        <v>1356</v>
      </c>
      <c r="AT360" t="s">
        <v>728</v>
      </c>
      <c r="AU360" t="s">
        <v>1</v>
      </c>
      <c r="AV360" t="s">
        <v>1</v>
      </c>
      <c r="AW360">
        <v>60.8</v>
      </c>
      <c r="AX360">
        <v>23.49</v>
      </c>
      <c r="AY360" t="s">
        <v>737</v>
      </c>
      <c r="BA360" s="3">
        <v>4</v>
      </c>
      <c r="BB360" s="3"/>
      <c r="BC360" s="3"/>
      <c r="BD360" s="3"/>
      <c r="BE360" s="3"/>
      <c r="BF360">
        <v>1982</v>
      </c>
      <c r="BG360" s="24" t="s">
        <v>733</v>
      </c>
      <c r="BH360" s="24" t="s">
        <v>733</v>
      </c>
      <c r="BI360" s="24" t="s">
        <v>733</v>
      </c>
      <c r="BJ360" s="24" t="s">
        <v>732</v>
      </c>
      <c r="BK360" s="24" t="s">
        <v>733</v>
      </c>
      <c r="BL360" s="25" t="s">
        <v>733</v>
      </c>
      <c r="BM360" s="24" t="s">
        <v>733</v>
      </c>
      <c r="BN360" s="24" t="s">
        <v>732</v>
      </c>
      <c r="BO360" s="24" t="s">
        <v>733</v>
      </c>
      <c r="BP360" s="24" t="s">
        <v>733</v>
      </c>
      <c r="BQ360" s="24" t="s">
        <v>945</v>
      </c>
      <c r="BR360" s="24" t="s">
        <v>945</v>
      </c>
      <c r="BS360" s="25" t="s">
        <v>934</v>
      </c>
      <c r="BT360" s="24" t="s">
        <v>934</v>
      </c>
      <c r="BU360" s="24" t="s">
        <v>934</v>
      </c>
      <c r="BV360" s="24" t="s">
        <v>934</v>
      </c>
      <c r="BW360" s="24" t="s">
        <v>934</v>
      </c>
      <c r="BX360" s="24" t="s">
        <v>934</v>
      </c>
      <c r="BY360" s="25" t="s">
        <v>945</v>
      </c>
      <c r="BZ360" t="s">
        <v>1398</v>
      </c>
      <c r="CB360" t="s">
        <v>1</v>
      </c>
      <c r="CC360" s="4">
        <v>2060</v>
      </c>
      <c r="CD360" s="4"/>
      <c r="CE360" s="4"/>
      <c r="CF360" t="s">
        <v>793</v>
      </c>
      <c r="CG360">
        <v>100</v>
      </c>
      <c r="CH360" t="s">
        <v>805</v>
      </c>
      <c r="CI360" s="28">
        <v>1.5</v>
      </c>
      <c r="CJ360" s="10" t="s">
        <v>1442</v>
      </c>
      <c r="CK360" t="s">
        <v>807</v>
      </c>
      <c r="CL360" s="4">
        <v>1490</v>
      </c>
      <c r="CM360" t="s">
        <v>847</v>
      </c>
      <c r="CN360" s="4">
        <v>37</v>
      </c>
      <c r="CO360" s="4" t="s">
        <v>1</v>
      </c>
      <c r="CP360" s="4" t="s">
        <v>1</v>
      </c>
      <c r="CQ360" s="4" t="s">
        <v>1</v>
      </c>
      <c r="CR360" s="4" t="s">
        <v>1</v>
      </c>
      <c r="CS360" s="4" t="s">
        <v>1</v>
      </c>
      <c r="CT360" s="4" t="s">
        <v>1</v>
      </c>
      <c r="CU360" s="4" t="s">
        <v>1</v>
      </c>
      <c r="CV360" t="s">
        <v>849</v>
      </c>
      <c r="CW360">
        <v>100</v>
      </c>
      <c r="CX360">
        <v>0</v>
      </c>
      <c r="CY360">
        <v>30</v>
      </c>
      <c r="CZ360" s="26" t="s">
        <v>1358</v>
      </c>
      <c r="DA360" t="s">
        <v>734</v>
      </c>
      <c r="DB360">
        <v>18.3</v>
      </c>
      <c r="DC360">
        <v>0</v>
      </c>
      <c r="DD360">
        <v>30</v>
      </c>
      <c r="DE360" s="26" t="s">
        <v>1358</v>
      </c>
      <c r="DF360" t="s">
        <v>735</v>
      </c>
      <c r="DG360">
        <v>13.3</v>
      </c>
      <c r="DH360">
        <v>0</v>
      </c>
      <c r="DI360">
        <v>30</v>
      </c>
      <c r="DJ360" s="26" t="s">
        <v>1358</v>
      </c>
      <c r="DK360" t="s">
        <v>736</v>
      </c>
      <c r="DL360">
        <v>68.3</v>
      </c>
      <c r="DM360">
        <v>0</v>
      </c>
      <c r="DN360">
        <v>30</v>
      </c>
      <c r="DO360" s="26" t="s">
        <v>1358</v>
      </c>
      <c r="DP360" t="s">
        <v>6</v>
      </c>
      <c r="DQ360" t="s">
        <v>813</v>
      </c>
      <c r="DR360">
        <v>6</v>
      </c>
      <c r="DS360">
        <v>0</v>
      </c>
      <c r="DT360">
        <v>30</v>
      </c>
      <c r="DU360" s="26" t="s">
        <v>1358</v>
      </c>
      <c r="EA360" t="s">
        <v>982</v>
      </c>
      <c r="EB360">
        <v>27</v>
      </c>
      <c r="EC360">
        <v>0</v>
      </c>
      <c r="ED360">
        <v>30</v>
      </c>
      <c r="EE360" s="26" t="s">
        <v>1358</v>
      </c>
      <c r="EF360" s="26"/>
      <c r="FZ360" t="s">
        <v>806</v>
      </c>
      <c r="GA360">
        <v>666</v>
      </c>
      <c r="GE360" s="26" t="s">
        <v>1358</v>
      </c>
      <c r="HA360" s="5" t="s">
        <v>1</v>
      </c>
      <c r="HB360" s="4" t="s">
        <v>1</v>
      </c>
      <c r="HC360" t="s">
        <v>1</v>
      </c>
      <c r="HD360" t="s">
        <v>1</v>
      </c>
      <c r="HE360" t="s">
        <v>1</v>
      </c>
      <c r="HF360" s="5" t="s">
        <v>1</v>
      </c>
      <c r="HG360" s="4" t="s">
        <v>1</v>
      </c>
      <c r="HH360" t="s">
        <v>1</v>
      </c>
      <c r="HI360" t="s">
        <v>1</v>
      </c>
      <c r="HJ360" t="s">
        <v>1</v>
      </c>
      <c r="HK360" t="s">
        <v>1</v>
      </c>
      <c r="HL360" t="s">
        <v>1</v>
      </c>
      <c r="HM360" t="s">
        <v>1</v>
      </c>
      <c r="HN360" t="s">
        <v>1</v>
      </c>
      <c r="HO360" t="s">
        <v>1</v>
      </c>
      <c r="HP360" t="s">
        <v>1</v>
      </c>
      <c r="HZ360" t="s">
        <v>969</v>
      </c>
      <c r="IA360">
        <v>50</v>
      </c>
      <c r="IB360" s="10" t="s">
        <v>1</v>
      </c>
      <c r="IC360" s="10"/>
      <c r="ID360" s="10"/>
      <c r="IE360" s="10" t="s">
        <v>1</v>
      </c>
      <c r="IF360" s="10" t="s">
        <v>1</v>
      </c>
      <c r="IG360" s="10"/>
      <c r="IH360" s="10"/>
      <c r="II360" s="10"/>
      <c r="IJ360" s="10"/>
      <c r="IK360" s="10"/>
      <c r="IL360" s="10"/>
      <c r="IM360" s="10"/>
      <c r="IN360" s="10"/>
      <c r="IO360" s="10"/>
      <c r="IP360" s="10"/>
      <c r="IQ360" s="10"/>
      <c r="IR360" s="10"/>
      <c r="IS360" t="s">
        <v>1</v>
      </c>
      <c r="IT360" t="s">
        <v>1</v>
      </c>
      <c r="IW360" t="s">
        <v>1</v>
      </c>
      <c r="IX360" t="s">
        <v>1</v>
      </c>
      <c r="IY360" t="s">
        <v>808</v>
      </c>
      <c r="IZ360">
        <v>150</v>
      </c>
      <c r="JA360" t="s">
        <v>1</v>
      </c>
      <c r="JB360" s="3" t="s">
        <v>1</v>
      </c>
      <c r="JC360" t="s">
        <v>1</v>
      </c>
      <c r="JD360" s="4" t="s">
        <v>1</v>
      </c>
      <c r="JE360" t="s">
        <v>810</v>
      </c>
      <c r="JF360">
        <v>100</v>
      </c>
      <c r="JR360" t="s">
        <v>1066</v>
      </c>
      <c r="JS360">
        <v>30.1</v>
      </c>
      <c r="JU360" t="s">
        <v>1</v>
      </c>
      <c r="JW360" t="s">
        <v>1</v>
      </c>
      <c r="JX360">
        <v>0</v>
      </c>
      <c r="JY360">
        <v>100</v>
      </c>
      <c r="JZ360" t="s">
        <v>797</v>
      </c>
      <c r="KA360" t="s">
        <v>147</v>
      </c>
      <c r="KB360" t="s">
        <v>738</v>
      </c>
      <c r="KC360" t="s">
        <v>1</v>
      </c>
      <c r="KD360" t="s">
        <v>1</v>
      </c>
      <c r="KE360" s="1" t="s">
        <v>1</v>
      </c>
      <c r="KF360" t="s">
        <v>1</v>
      </c>
      <c r="KG360" t="s">
        <v>1</v>
      </c>
      <c r="KH360" t="s">
        <v>1</v>
      </c>
      <c r="KI360" t="s">
        <v>1</v>
      </c>
      <c r="KJ360" t="s">
        <v>1</v>
      </c>
      <c r="KK360" t="s">
        <v>1</v>
      </c>
    </row>
    <row r="361" spans="1:297" x14ac:dyDescent="0.2">
      <c r="A361">
        <v>329</v>
      </c>
      <c r="B361" t="s">
        <v>705</v>
      </c>
      <c r="C361" t="s">
        <v>17</v>
      </c>
      <c r="D361" t="s">
        <v>405</v>
      </c>
      <c r="E361">
        <v>59</v>
      </c>
      <c r="F361" t="s">
        <v>406</v>
      </c>
      <c r="G361" t="s">
        <v>1</v>
      </c>
      <c r="H361" s="26" t="s">
        <v>1420</v>
      </c>
      <c r="I361" t="s">
        <v>1</v>
      </c>
      <c r="J361" t="s">
        <v>1</v>
      </c>
      <c r="K361" t="s">
        <v>1</v>
      </c>
      <c r="L361" t="s">
        <v>1</v>
      </c>
      <c r="M361" t="s">
        <v>1</v>
      </c>
      <c r="N361" t="s">
        <v>1</v>
      </c>
      <c r="O361" t="s">
        <v>1</v>
      </c>
      <c r="P361" t="s">
        <v>1</v>
      </c>
      <c r="Q361" t="s">
        <v>1</v>
      </c>
      <c r="R361" t="s">
        <v>1</v>
      </c>
      <c r="S361" t="s">
        <v>1</v>
      </c>
      <c r="T361" t="s">
        <v>1</v>
      </c>
      <c r="U361" t="s">
        <v>1</v>
      </c>
      <c r="V361" t="s">
        <v>1</v>
      </c>
      <c r="W361" t="s">
        <v>1</v>
      </c>
      <c r="X361" t="s">
        <v>1</v>
      </c>
      <c r="Y361" t="s">
        <v>1</v>
      </c>
      <c r="Z361" t="s">
        <v>1</v>
      </c>
      <c r="AA361" t="s">
        <v>1</v>
      </c>
      <c r="AB361" t="s">
        <v>1</v>
      </c>
      <c r="AC361" t="s">
        <v>1</v>
      </c>
      <c r="AD361" t="s">
        <v>1</v>
      </c>
      <c r="AE361" t="s">
        <v>1</v>
      </c>
      <c r="AF361" t="s">
        <v>1</v>
      </c>
      <c r="AG361" t="s">
        <v>1</v>
      </c>
      <c r="AH361" t="s">
        <v>1</v>
      </c>
      <c r="AI361" t="s">
        <v>1</v>
      </c>
      <c r="AJ361" t="s">
        <v>1</v>
      </c>
      <c r="AK361" t="s">
        <v>1</v>
      </c>
      <c r="AL361" t="s">
        <v>1</v>
      </c>
      <c r="AM361" t="s">
        <v>1</v>
      </c>
      <c r="AN361">
        <v>329</v>
      </c>
      <c r="AO361">
        <f t="shared" si="45"/>
        <v>329</v>
      </c>
      <c r="AP361">
        <f t="shared" si="47"/>
        <v>59</v>
      </c>
      <c r="AQ361">
        <f t="shared" si="48"/>
        <v>59</v>
      </c>
      <c r="AR361" s="26" t="s">
        <v>1355</v>
      </c>
      <c r="AS361" s="26" t="s">
        <v>1356</v>
      </c>
      <c r="AT361" t="s">
        <v>728</v>
      </c>
      <c r="AU361" t="s">
        <v>1</v>
      </c>
      <c r="AV361" t="s">
        <v>1</v>
      </c>
      <c r="AW361">
        <v>60.8</v>
      </c>
      <c r="AX361">
        <v>23.49</v>
      </c>
      <c r="AY361" t="s">
        <v>737</v>
      </c>
      <c r="BA361" s="3">
        <v>4</v>
      </c>
      <c r="BB361" s="3"/>
      <c r="BC361" s="3"/>
      <c r="BD361" s="3"/>
      <c r="BE361" s="3"/>
      <c r="BF361">
        <v>1982</v>
      </c>
      <c r="BG361" s="24" t="s">
        <v>733</v>
      </c>
      <c r="BH361" s="24" t="s">
        <v>733</v>
      </c>
      <c r="BI361" s="24" t="s">
        <v>733</v>
      </c>
      <c r="BJ361" s="24" t="s">
        <v>732</v>
      </c>
      <c r="BK361" s="24" t="s">
        <v>733</v>
      </c>
      <c r="BL361" s="25" t="s">
        <v>733</v>
      </c>
      <c r="BM361" s="24" t="s">
        <v>733</v>
      </c>
      <c r="BN361" s="24" t="s">
        <v>732</v>
      </c>
      <c r="BO361" s="24" t="s">
        <v>733</v>
      </c>
      <c r="BP361" s="24" t="s">
        <v>733</v>
      </c>
      <c r="BQ361" s="24" t="s">
        <v>945</v>
      </c>
      <c r="BR361" s="24" t="s">
        <v>945</v>
      </c>
      <c r="BS361" s="25" t="s">
        <v>934</v>
      </c>
      <c r="BT361" s="24" t="s">
        <v>934</v>
      </c>
      <c r="BU361" s="24" t="s">
        <v>934</v>
      </c>
      <c r="BV361" s="24" t="s">
        <v>934</v>
      </c>
      <c r="BW361" s="24" t="s">
        <v>934</v>
      </c>
      <c r="BX361" s="24" t="s">
        <v>934</v>
      </c>
      <c r="BY361" s="25" t="s">
        <v>945</v>
      </c>
      <c r="BZ361" t="s">
        <v>1398</v>
      </c>
      <c r="CB361" t="s">
        <v>1</v>
      </c>
      <c r="CC361" s="4">
        <v>3050</v>
      </c>
      <c r="CD361" s="4"/>
      <c r="CE361" s="4"/>
      <c r="CF361" t="s">
        <v>793</v>
      </c>
      <c r="CG361">
        <v>100</v>
      </c>
      <c r="CH361" t="s">
        <v>805</v>
      </c>
      <c r="CI361" s="28">
        <v>1.5</v>
      </c>
      <c r="CJ361" s="10" t="s">
        <v>1442</v>
      </c>
      <c r="CK361" t="s">
        <v>807</v>
      </c>
      <c r="CL361" s="4">
        <v>1940</v>
      </c>
      <c r="CM361" t="s">
        <v>847</v>
      </c>
      <c r="CN361" s="4">
        <v>59</v>
      </c>
      <c r="CO361" s="4" t="s">
        <v>1</v>
      </c>
      <c r="CP361" s="4" t="s">
        <v>1</v>
      </c>
      <c r="CQ361" s="4" t="s">
        <v>1</v>
      </c>
      <c r="CR361" s="4" t="s">
        <v>1</v>
      </c>
      <c r="CS361" s="4" t="s">
        <v>1</v>
      </c>
      <c r="CT361" s="4" t="s">
        <v>1</v>
      </c>
      <c r="CU361" s="4" t="s">
        <v>1</v>
      </c>
      <c r="CV361" t="s">
        <v>849</v>
      </c>
      <c r="CW361">
        <v>100</v>
      </c>
      <c r="CX361">
        <v>0</v>
      </c>
      <c r="CY361">
        <v>30</v>
      </c>
      <c r="CZ361" s="26" t="s">
        <v>1358</v>
      </c>
      <c r="DA361" t="s">
        <v>734</v>
      </c>
      <c r="DB361">
        <v>18.3</v>
      </c>
      <c r="DC361">
        <v>0</v>
      </c>
      <c r="DD361">
        <v>30</v>
      </c>
      <c r="DE361" s="26" t="s">
        <v>1358</v>
      </c>
      <c r="DF361" t="s">
        <v>735</v>
      </c>
      <c r="DG361">
        <v>13.3</v>
      </c>
      <c r="DH361">
        <v>0</v>
      </c>
      <c r="DI361">
        <v>30</v>
      </c>
      <c r="DJ361" s="26" t="s">
        <v>1358</v>
      </c>
      <c r="DK361" t="s">
        <v>736</v>
      </c>
      <c r="DL361">
        <v>68.3</v>
      </c>
      <c r="DM361">
        <v>0</v>
      </c>
      <c r="DN361">
        <v>30</v>
      </c>
      <c r="DO361" s="26" t="s">
        <v>1358</v>
      </c>
      <c r="DP361" t="s">
        <v>6</v>
      </c>
      <c r="DQ361" t="s">
        <v>813</v>
      </c>
      <c r="DR361">
        <v>6</v>
      </c>
      <c r="DS361">
        <v>0</v>
      </c>
      <c r="DT361">
        <v>30</v>
      </c>
      <c r="DU361" s="26" t="s">
        <v>1358</v>
      </c>
      <c r="EA361" t="s">
        <v>982</v>
      </c>
      <c r="EB361">
        <v>27</v>
      </c>
      <c r="EC361">
        <v>0</v>
      </c>
      <c r="ED361">
        <v>30</v>
      </c>
      <c r="EE361" s="26" t="s">
        <v>1358</v>
      </c>
      <c r="EF361" s="26"/>
      <c r="FZ361" t="s">
        <v>806</v>
      </c>
      <c r="GA361">
        <v>666</v>
      </c>
      <c r="GE361" s="26" t="s">
        <v>1358</v>
      </c>
      <c r="HA361" s="5" t="s">
        <v>1</v>
      </c>
      <c r="HB361" s="4" t="s">
        <v>1</v>
      </c>
      <c r="HC361" t="s">
        <v>1</v>
      </c>
      <c r="HD361" t="s">
        <v>1</v>
      </c>
      <c r="HE361" t="s">
        <v>1</v>
      </c>
      <c r="HF361" s="5" t="s">
        <v>1</v>
      </c>
      <c r="HG361" s="4" t="s">
        <v>1</v>
      </c>
      <c r="HH361" t="s">
        <v>1</v>
      </c>
      <c r="HI361" t="s">
        <v>1</v>
      </c>
      <c r="HJ361" t="s">
        <v>1</v>
      </c>
      <c r="HK361" t="s">
        <v>1</v>
      </c>
      <c r="HL361" t="s">
        <v>1</v>
      </c>
      <c r="HM361" t="s">
        <v>1</v>
      </c>
      <c r="HN361" t="s">
        <v>1</v>
      </c>
      <c r="HO361" t="s">
        <v>1</v>
      </c>
      <c r="HP361" t="s">
        <v>1</v>
      </c>
      <c r="HZ361" t="s">
        <v>969</v>
      </c>
      <c r="IA361">
        <v>100</v>
      </c>
      <c r="IB361" s="10" t="s">
        <v>1</v>
      </c>
      <c r="IC361" s="10"/>
      <c r="ID361" s="10"/>
      <c r="IE361" s="10" t="s">
        <v>1</v>
      </c>
      <c r="IF361" s="10" t="s">
        <v>1</v>
      </c>
      <c r="IG361" s="10"/>
      <c r="IH361" s="10"/>
      <c r="II361" s="10"/>
      <c r="IJ361" s="10"/>
      <c r="IK361" s="10"/>
      <c r="IL361" s="10"/>
      <c r="IM361" s="10"/>
      <c r="IN361" s="10"/>
      <c r="IO361" s="10"/>
      <c r="IP361" s="10"/>
      <c r="IQ361" s="10"/>
      <c r="IR361" s="10"/>
      <c r="IS361" t="s">
        <v>1</v>
      </c>
      <c r="IT361" t="s">
        <v>1</v>
      </c>
      <c r="IW361" t="s">
        <v>1</v>
      </c>
      <c r="IX361" t="s">
        <v>1</v>
      </c>
      <c r="IY361" t="s">
        <v>808</v>
      </c>
      <c r="IZ361">
        <v>150</v>
      </c>
      <c r="JA361" t="s">
        <v>1</v>
      </c>
      <c r="JB361" s="3" t="s">
        <v>1</v>
      </c>
      <c r="JC361" t="s">
        <v>1</v>
      </c>
      <c r="JD361" s="4" t="s">
        <v>1</v>
      </c>
      <c r="JE361" t="s">
        <v>810</v>
      </c>
      <c r="JF361">
        <v>100</v>
      </c>
      <c r="JR361" t="s">
        <v>1066</v>
      </c>
      <c r="JS361">
        <v>28.3</v>
      </c>
      <c r="JU361" t="s">
        <v>1</v>
      </c>
      <c r="JW361" t="s">
        <v>1</v>
      </c>
      <c r="JX361">
        <v>0</v>
      </c>
      <c r="JY361">
        <v>100</v>
      </c>
      <c r="JZ361" t="s">
        <v>797</v>
      </c>
      <c r="KA361" t="s">
        <v>147</v>
      </c>
      <c r="KB361" t="s">
        <v>738</v>
      </c>
      <c r="KC361" t="s">
        <v>1</v>
      </c>
      <c r="KD361" t="s">
        <v>1</v>
      </c>
      <c r="KE361" s="1" t="s">
        <v>1</v>
      </c>
      <c r="KF361" t="s">
        <v>1</v>
      </c>
      <c r="KG361" t="s">
        <v>1</v>
      </c>
      <c r="KH361" t="s">
        <v>1</v>
      </c>
      <c r="KI361" t="s">
        <v>1</v>
      </c>
      <c r="KJ361" t="s">
        <v>1</v>
      </c>
      <c r="KK361" t="s">
        <v>1</v>
      </c>
    </row>
    <row r="362" spans="1:297" x14ac:dyDescent="0.2">
      <c r="A362">
        <v>330</v>
      </c>
      <c r="B362" t="s">
        <v>705</v>
      </c>
      <c r="C362" t="s">
        <v>412</v>
      </c>
      <c r="D362" t="s">
        <v>410</v>
      </c>
      <c r="E362">
        <v>60</v>
      </c>
      <c r="F362" t="s">
        <v>411</v>
      </c>
      <c r="G362" t="s">
        <v>1</v>
      </c>
      <c r="H362" s="26" t="s">
        <v>1420</v>
      </c>
      <c r="I362" t="s">
        <v>1</v>
      </c>
      <c r="J362" t="s">
        <v>1</v>
      </c>
      <c r="K362" t="s">
        <v>1</v>
      </c>
      <c r="L362" t="s">
        <v>1</v>
      </c>
      <c r="M362" t="s">
        <v>1</v>
      </c>
      <c r="N362" t="s">
        <v>1</v>
      </c>
      <c r="O362" t="s">
        <v>1</v>
      </c>
      <c r="P362" t="s">
        <v>1</v>
      </c>
      <c r="Q362" t="s">
        <v>1</v>
      </c>
      <c r="R362" t="s">
        <v>1</v>
      </c>
      <c r="S362" t="s">
        <v>1</v>
      </c>
      <c r="T362" t="s">
        <v>1</v>
      </c>
      <c r="U362" t="s">
        <v>1</v>
      </c>
      <c r="V362" t="s">
        <v>1</v>
      </c>
      <c r="W362" t="s">
        <v>1</v>
      </c>
      <c r="X362" t="s">
        <v>1</v>
      </c>
      <c r="Y362" t="s">
        <v>1</v>
      </c>
      <c r="Z362" t="s">
        <v>1</v>
      </c>
      <c r="AA362" t="s">
        <v>1</v>
      </c>
      <c r="AB362" t="s">
        <v>1</v>
      </c>
      <c r="AC362" t="s">
        <v>1</v>
      </c>
      <c r="AD362" t="s">
        <v>1</v>
      </c>
      <c r="AE362" t="s">
        <v>1</v>
      </c>
      <c r="AF362" t="s">
        <v>1</v>
      </c>
      <c r="AG362" t="s">
        <v>1</v>
      </c>
      <c r="AH362" t="s">
        <v>1</v>
      </c>
      <c r="AI362" t="s">
        <v>1</v>
      </c>
      <c r="AJ362" t="s">
        <v>1</v>
      </c>
      <c r="AK362" t="s">
        <v>1</v>
      </c>
      <c r="AL362" t="s">
        <v>1</v>
      </c>
      <c r="AM362" t="s">
        <v>1</v>
      </c>
      <c r="AN362">
        <v>330</v>
      </c>
      <c r="AO362">
        <f t="shared" si="45"/>
        <v>330</v>
      </c>
      <c r="AP362">
        <f t="shared" si="47"/>
        <v>60</v>
      </c>
      <c r="AQ362">
        <f t="shared" si="48"/>
        <v>60</v>
      </c>
      <c r="AR362" s="26" t="s">
        <v>1355</v>
      </c>
      <c r="AS362" s="26" t="s">
        <v>1356</v>
      </c>
      <c r="AT362" t="s">
        <v>725</v>
      </c>
      <c r="AU362" t="s">
        <v>1</v>
      </c>
      <c r="AV362" t="s">
        <v>1</v>
      </c>
      <c r="AW362">
        <v>51.64</v>
      </c>
      <c r="AX362">
        <v>-1.64</v>
      </c>
      <c r="AY362" t="s">
        <v>737</v>
      </c>
      <c r="BA362" s="3">
        <v>2</v>
      </c>
      <c r="BB362" s="3"/>
      <c r="BC362" s="3"/>
      <c r="BD362" s="3"/>
      <c r="BE362" s="3"/>
      <c r="BF362">
        <v>1993</v>
      </c>
      <c r="BG362" s="24" t="s">
        <v>733</v>
      </c>
      <c r="BH362" s="24" t="s">
        <v>733</v>
      </c>
      <c r="BI362" s="24" t="s">
        <v>733</v>
      </c>
      <c r="BJ362" s="24" t="s">
        <v>732</v>
      </c>
      <c r="BK362" s="24" t="s">
        <v>733</v>
      </c>
      <c r="BL362" s="25" t="s">
        <v>733</v>
      </c>
      <c r="BM362" s="24" t="s">
        <v>733</v>
      </c>
      <c r="BN362" s="24" t="s">
        <v>732</v>
      </c>
      <c r="BO362" s="24" t="s">
        <v>733</v>
      </c>
      <c r="BP362" s="24" t="s">
        <v>733</v>
      </c>
      <c r="BQ362" s="24" t="s">
        <v>945</v>
      </c>
      <c r="BR362" s="24" t="s">
        <v>945</v>
      </c>
      <c r="BS362" s="25" t="s">
        <v>934</v>
      </c>
      <c r="BT362" s="24" t="s">
        <v>934</v>
      </c>
      <c r="BU362" s="24" t="s">
        <v>934</v>
      </c>
      <c r="BV362" s="24" t="s">
        <v>934</v>
      </c>
      <c r="BW362" s="24" t="s">
        <v>934</v>
      </c>
      <c r="BX362" s="24" t="s">
        <v>934</v>
      </c>
      <c r="BY362" s="25" t="s">
        <v>945</v>
      </c>
      <c r="BZ362" t="s">
        <v>788</v>
      </c>
      <c r="CB362" t="s">
        <v>1406</v>
      </c>
      <c r="CC362" s="4" t="s">
        <v>1</v>
      </c>
      <c r="CD362" s="4"/>
      <c r="CE362" s="4"/>
      <c r="CF362" t="s">
        <v>1</v>
      </c>
      <c r="CG362" t="s">
        <v>1</v>
      </c>
      <c r="CH362" t="s">
        <v>805</v>
      </c>
      <c r="CI362" s="1">
        <f>AVERAGE(1.5,1.7,1.7,1.5,0)</f>
        <v>1.28</v>
      </c>
      <c r="CJ362" s="10" t="s">
        <v>1442</v>
      </c>
      <c r="CK362" s="9" t="s">
        <v>1</v>
      </c>
      <c r="CL362" s="4" t="s">
        <v>1</v>
      </c>
      <c r="CM362" t="s">
        <v>847</v>
      </c>
      <c r="CN362" s="4">
        <f>AVERAGE(121,177,218,203,50)</f>
        <v>153.80000000000001</v>
      </c>
      <c r="CO362" s="4" t="s">
        <v>1</v>
      </c>
      <c r="CP362" s="4" t="s">
        <v>1</v>
      </c>
      <c r="CQ362" s="4" t="s">
        <v>1</v>
      </c>
      <c r="CR362" s="4" t="s">
        <v>1</v>
      </c>
      <c r="CS362" s="4" t="s">
        <v>1</v>
      </c>
      <c r="CT362" s="4" t="s">
        <v>1</v>
      </c>
      <c r="CU362" s="4" t="s">
        <v>1</v>
      </c>
      <c r="CV362" t="s">
        <v>849</v>
      </c>
      <c r="CW362">
        <v>100</v>
      </c>
      <c r="CX362">
        <v>0</v>
      </c>
      <c r="CY362">
        <v>30</v>
      </c>
      <c r="CZ362" s="26" t="s">
        <v>1358</v>
      </c>
      <c r="DA362" t="s">
        <v>734</v>
      </c>
      <c r="DB362">
        <v>6.7</v>
      </c>
      <c r="DC362">
        <v>0</v>
      </c>
      <c r="DD362">
        <v>30</v>
      </c>
      <c r="DE362" s="26" t="s">
        <v>1358</v>
      </c>
      <c r="DF362" t="s">
        <v>735</v>
      </c>
      <c r="DG362">
        <v>39</v>
      </c>
      <c r="DH362">
        <v>0</v>
      </c>
      <c r="DI362">
        <v>30</v>
      </c>
      <c r="DJ362" s="26" t="s">
        <v>1358</v>
      </c>
      <c r="DK362" t="s">
        <v>736</v>
      </c>
      <c r="DL362">
        <v>54.7</v>
      </c>
      <c r="DM362">
        <v>0</v>
      </c>
      <c r="DN362">
        <v>30</v>
      </c>
      <c r="DO362" s="26" t="s">
        <v>1358</v>
      </c>
      <c r="DP362" t="s">
        <v>1</v>
      </c>
      <c r="DQ362" t="s">
        <v>1</v>
      </c>
      <c r="DR362" t="s">
        <v>1</v>
      </c>
      <c r="DS362" t="s">
        <v>1</v>
      </c>
      <c r="DT362" t="s">
        <v>1</v>
      </c>
      <c r="DU362" t="s">
        <v>1</v>
      </c>
      <c r="EA362" t="s">
        <v>982</v>
      </c>
      <c r="EB362">
        <v>25</v>
      </c>
      <c r="EC362">
        <v>0</v>
      </c>
      <c r="ED362">
        <v>30</v>
      </c>
      <c r="EE362" s="26" t="s">
        <v>1358</v>
      </c>
      <c r="EF362" s="26"/>
      <c r="FZ362" t="s">
        <v>806</v>
      </c>
      <c r="GA362">
        <v>565.79999999999995</v>
      </c>
      <c r="GE362" s="26" t="s">
        <v>1358</v>
      </c>
      <c r="HA362" s="5" t="s">
        <v>1</v>
      </c>
      <c r="HB362" s="4" t="s">
        <v>1</v>
      </c>
      <c r="HC362" t="s">
        <v>1</v>
      </c>
      <c r="HD362" t="s">
        <v>1</v>
      </c>
      <c r="HE362" t="s">
        <v>1</v>
      </c>
      <c r="HF362" s="5" t="s">
        <v>1</v>
      </c>
      <c r="HG362" s="4" t="s">
        <v>1</v>
      </c>
      <c r="HH362" t="s">
        <v>1</v>
      </c>
      <c r="HI362" t="s">
        <v>1</v>
      </c>
      <c r="HJ362" t="s">
        <v>1</v>
      </c>
      <c r="HK362" t="s">
        <v>815</v>
      </c>
      <c r="HL362">
        <v>1.44</v>
      </c>
      <c r="HM362">
        <v>0</v>
      </c>
      <c r="HN362">
        <v>30</v>
      </c>
      <c r="HO362" t="s">
        <v>1454</v>
      </c>
      <c r="HP362" s="26" t="s">
        <v>1358</v>
      </c>
      <c r="HZ362" t="s">
        <v>1295</v>
      </c>
      <c r="IA362">
        <v>110</v>
      </c>
      <c r="IB362" s="10" t="s">
        <v>1</v>
      </c>
      <c r="IC362" s="10"/>
      <c r="ID362" s="10"/>
      <c r="IE362" s="10" t="s">
        <v>1</v>
      </c>
      <c r="IF362" s="10" t="s">
        <v>1</v>
      </c>
      <c r="IG362" s="10" t="s">
        <v>1</v>
      </c>
      <c r="IH362" s="10" t="s">
        <v>1</v>
      </c>
      <c r="II362" s="10" t="s">
        <v>1</v>
      </c>
      <c r="IJ362" s="10" t="s">
        <v>1</v>
      </c>
      <c r="IK362" s="10" t="s">
        <v>1</v>
      </c>
      <c r="IL362" s="10" t="s">
        <v>1</v>
      </c>
      <c r="IM362" s="10" t="s">
        <v>1</v>
      </c>
      <c r="IN362" s="10" t="s">
        <v>1</v>
      </c>
      <c r="IO362" s="10" t="s">
        <v>1</v>
      </c>
      <c r="IP362" s="10" t="s">
        <v>1</v>
      </c>
      <c r="IQ362" s="10" t="s">
        <v>1</v>
      </c>
      <c r="IR362" s="10" t="s">
        <v>1</v>
      </c>
      <c r="IS362" t="s">
        <v>1</v>
      </c>
      <c r="IT362" t="s">
        <v>1</v>
      </c>
      <c r="IW362" t="s">
        <v>1</v>
      </c>
      <c r="IX362" t="s">
        <v>1</v>
      </c>
      <c r="IY362" t="s">
        <v>1</v>
      </c>
      <c r="IZ362" t="s">
        <v>1</v>
      </c>
      <c r="JA362" t="s">
        <v>1065</v>
      </c>
      <c r="JB362" s="3">
        <v>34</v>
      </c>
      <c r="JC362" t="s">
        <v>1</v>
      </c>
      <c r="JD362" s="4" t="s">
        <v>1</v>
      </c>
      <c r="JE362" t="s">
        <v>810</v>
      </c>
      <c r="JF362">
        <v>100</v>
      </c>
      <c r="JR362" t="s">
        <v>1066</v>
      </c>
      <c r="JS362">
        <v>86.8</v>
      </c>
      <c r="JU362" t="s">
        <v>1</v>
      </c>
      <c r="JW362" t="s">
        <v>1</v>
      </c>
      <c r="JX362">
        <v>0</v>
      </c>
      <c r="JY362">
        <v>55.000000000000007</v>
      </c>
      <c r="JZ362" t="s">
        <v>802</v>
      </c>
      <c r="KA362" t="s">
        <v>346</v>
      </c>
      <c r="KB362" t="s">
        <v>738</v>
      </c>
      <c r="KC362" t="s">
        <v>1</v>
      </c>
      <c r="KD362" t="s">
        <v>1</v>
      </c>
      <c r="KE362" s="1" t="s">
        <v>1</v>
      </c>
      <c r="KF362" t="s">
        <v>1</v>
      </c>
      <c r="KG362" t="s">
        <v>1</v>
      </c>
      <c r="KH362" t="s">
        <v>1</v>
      </c>
      <c r="KI362" t="s">
        <v>1</v>
      </c>
      <c r="KJ362" t="s">
        <v>1</v>
      </c>
      <c r="KK362" t="s">
        <v>1</v>
      </c>
    </row>
    <row r="363" spans="1:297" x14ac:dyDescent="0.2">
      <c r="A363">
        <v>331</v>
      </c>
      <c r="B363" t="s">
        <v>705</v>
      </c>
      <c r="C363" t="s">
        <v>413</v>
      </c>
      <c r="D363" t="s">
        <v>410</v>
      </c>
      <c r="E363">
        <v>60</v>
      </c>
      <c r="F363" t="s">
        <v>411</v>
      </c>
      <c r="G363" t="s">
        <v>1</v>
      </c>
      <c r="H363" s="26" t="s">
        <v>1420</v>
      </c>
      <c r="I363" t="s">
        <v>1</v>
      </c>
      <c r="J363" t="s">
        <v>1</v>
      </c>
      <c r="K363" t="s">
        <v>1</v>
      </c>
      <c r="L363" t="s">
        <v>1</v>
      </c>
      <c r="M363" t="s">
        <v>1</v>
      </c>
      <c r="N363" t="s">
        <v>1</v>
      </c>
      <c r="O363" t="s">
        <v>1</v>
      </c>
      <c r="P363" t="s">
        <v>1</v>
      </c>
      <c r="Q363" t="s">
        <v>1</v>
      </c>
      <c r="R363" t="s">
        <v>1</v>
      </c>
      <c r="S363" t="s">
        <v>1</v>
      </c>
      <c r="T363" t="s">
        <v>1</v>
      </c>
      <c r="U363" t="s">
        <v>1</v>
      </c>
      <c r="V363" t="s">
        <v>1</v>
      </c>
      <c r="W363" t="s">
        <v>1</v>
      </c>
      <c r="X363" t="s">
        <v>1</v>
      </c>
      <c r="Y363" t="s">
        <v>1</v>
      </c>
      <c r="Z363" t="s">
        <v>1</v>
      </c>
      <c r="AA363" t="s">
        <v>1</v>
      </c>
      <c r="AB363" t="s">
        <v>1</v>
      </c>
      <c r="AC363" t="s">
        <v>1</v>
      </c>
      <c r="AD363" t="s">
        <v>1</v>
      </c>
      <c r="AE363" t="s">
        <v>1</v>
      </c>
      <c r="AF363" t="s">
        <v>1</v>
      </c>
      <c r="AG363" t="s">
        <v>1</v>
      </c>
      <c r="AH363" t="s">
        <v>1</v>
      </c>
      <c r="AI363" t="s">
        <v>1</v>
      </c>
      <c r="AJ363" t="s">
        <v>1</v>
      </c>
      <c r="AK363" t="s">
        <v>1</v>
      </c>
      <c r="AL363" t="s">
        <v>1</v>
      </c>
      <c r="AM363" t="s">
        <v>1</v>
      </c>
      <c r="AN363">
        <v>331</v>
      </c>
      <c r="AO363">
        <f t="shared" si="45"/>
        <v>331</v>
      </c>
      <c r="AP363">
        <f t="shared" si="47"/>
        <v>60</v>
      </c>
      <c r="AQ363">
        <f t="shared" si="48"/>
        <v>60</v>
      </c>
      <c r="AR363" s="26" t="s">
        <v>1355</v>
      </c>
      <c r="AS363" s="26" t="s">
        <v>1356</v>
      </c>
      <c r="AT363" t="s">
        <v>725</v>
      </c>
      <c r="AU363" t="s">
        <v>1</v>
      </c>
      <c r="AV363" t="s">
        <v>1</v>
      </c>
      <c r="AW363">
        <v>51.64</v>
      </c>
      <c r="AX363">
        <v>-1.64</v>
      </c>
      <c r="AY363" t="s">
        <v>737</v>
      </c>
      <c r="BA363" s="3">
        <v>2</v>
      </c>
      <c r="BB363" s="3"/>
      <c r="BC363" s="3"/>
      <c r="BD363" s="3"/>
      <c r="BE363" s="3"/>
      <c r="BF363">
        <v>1993</v>
      </c>
      <c r="BG363" s="24" t="s">
        <v>733</v>
      </c>
      <c r="BH363" s="24" t="s">
        <v>733</v>
      </c>
      <c r="BI363" s="24" t="s">
        <v>733</v>
      </c>
      <c r="BJ363" s="24" t="s">
        <v>732</v>
      </c>
      <c r="BK363" s="24" t="s">
        <v>733</v>
      </c>
      <c r="BL363" s="25" t="s">
        <v>733</v>
      </c>
      <c r="BM363" s="24" t="s">
        <v>733</v>
      </c>
      <c r="BN363" s="24" t="s">
        <v>732</v>
      </c>
      <c r="BO363" s="24" t="s">
        <v>733</v>
      </c>
      <c r="BP363" s="24" t="s">
        <v>733</v>
      </c>
      <c r="BQ363" s="24" t="s">
        <v>945</v>
      </c>
      <c r="BR363" s="24" t="s">
        <v>945</v>
      </c>
      <c r="BS363" s="25" t="s">
        <v>934</v>
      </c>
      <c r="BT363" s="24" t="s">
        <v>934</v>
      </c>
      <c r="BU363" s="24" t="s">
        <v>934</v>
      </c>
      <c r="BV363" s="24" t="s">
        <v>934</v>
      </c>
      <c r="BW363" s="24" t="s">
        <v>934</v>
      </c>
      <c r="BX363" s="24" t="s">
        <v>934</v>
      </c>
      <c r="BY363" s="25" t="s">
        <v>945</v>
      </c>
      <c r="BZ363" t="s">
        <v>788</v>
      </c>
      <c r="CB363" t="s">
        <v>1406</v>
      </c>
      <c r="CC363" s="4" t="s">
        <v>1</v>
      </c>
      <c r="CD363" s="4"/>
      <c r="CE363" s="4"/>
      <c r="CF363" t="s">
        <v>1</v>
      </c>
      <c r="CG363" t="s">
        <v>1</v>
      </c>
      <c r="CH363" t="s">
        <v>805</v>
      </c>
      <c r="CI363" s="1">
        <f>AVERAGE(1.5,1.7,1.7,1.5,0)</f>
        <v>1.28</v>
      </c>
      <c r="CJ363" s="10" t="s">
        <v>1442</v>
      </c>
      <c r="CK363" s="9" t="s">
        <v>1</v>
      </c>
      <c r="CL363" s="4" t="s">
        <v>1</v>
      </c>
      <c r="CM363" t="s">
        <v>847</v>
      </c>
      <c r="CN363" s="4">
        <f>AVERAGE(124,170,261,195,44)</f>
        <v>158.80000000000001</v>
      </c>
      <c r="CO363" s="4" t="s">
        <v>1</v>
      </c>
      <c r="CP363" s="4" t="s">
        <v>1</v>
      </c>
      <c r="CQ363" s="4" t="s">
        <v>1</v>
      </c>
      <c r="CR363" s="4" t="s">
        <v>1</v>
      </c>
      <c r="CS363" s="4" t="s">
        <v>1</v>
      </c>
      <c r="CT363" s="4" t="s">
        <v>1</v>
      </c>
      <c r="CU363" s="4" t="s">
        <v>1</v>
      </c>
      <c r="CV363" t="s">
        <v>849</v>
      </c>
      <c r="CW363">
        <v>100</v>
      </c>
      <c r="CX363">
        <v>0</v>
      </c>
      <c r="CY363">
        <v>30</v>
      </c>
      <c r="CZ363" s="26" t="s">
        <v>1358</v>
      </c>
      <c r="DA363" t="s">
        <v>734</v>
      </c>
      <c r="DB363">
        <v>6.7</v>
      </c>
      <c r="DC363">
        <v>0</v>
      </c>
      <c r="DD363">
        <v>30</v>
      </c>
      <c r="DE363" s="26" t="s">
        <v>1358</v>
      </c>
      <c r="DF363" t="s">
        <v>735</v>
      </c>
      <c r="DG363">
        <v>39</v>
      </c>
      <c r="DH363">
        <v>0</v>
      </c>
      <c r="DI363">
        <v>30</v>
      </c>
      <c r="DJ363" s="26" t="s">
        <v>1358</v>
      </c>
      <c r="DK363" t="s">
        <v>736</v>
      </c>
      <c r="DL363">
        <v>54.7</v>
      </c>
      <c r="DM363">
        <v>0</v>
      </c>
      <c r="DN363">
        <v>30</v>
      </c>
      <c r="DO363" s="26" t="s">
        <v>1358</v>
      </c>
      <c r="DP363" t="s">
        <v>1</v>
      </c>
      <c r="DQ363" t="s">
        <v>1</v>
      </c>
      <c r="DR363" t="s">
        <v>1</v>
      </c>
      <c r="DS363" t="s">
        <v>1</v>
      </c>
      <c r="DT363" t="s">
        <v>1</v>
      </c>
      <c r="DU363" t="s">
        <v>1</v>
      </c>
      <c r="EA363" t="s">
        <v>982</v>
      </c>
      <c r="EB363">
        <v>25</v>
      </c>
      <c r="EC363">
        <v>0</v>
      </c>
      <c r="ED363">
        <v>30</v>
      </c>
      <c r="EE363" s="26" t="s">
        <v>1358</v>
      </c>
      <c r="EF363" s="26"/>
      <c r="FZ363" t="s">
        <v>806</v>
      </c>
      <c r="GA363">
        <v>565.79999999999995</v>
      </c>
      <c r="GE363" s="26" t="s">
        <v>1358</v>
      </c>
      <c r="HA363" s="5" t="s">
        <v>1</v>
      </c>
      <c r="HB363" s="4" t="s">
        <v>1</v>
      </c>
      <c r="HC363" t="s">
        <v>1</v>
      </c>
      <c r="HD363" t="s">
        <v>1</v>
      </c>
      <c r="HE363" t="s">
        <v>1</v>
      </c>
      <c r="HF363" s="5" t="s">
        <v>1</v>
      </c>
      <c r="HG363" s="4" t="s">
        <v>1</v>
      </c>
      <c r="HH363" t="s">
        <v>1</v>
      </c>
      <c r="HI363" t="s">
        <v>1</v>
      </c>
      <c r="HJ363" t="s">
        <v>1</v>
      </c>
      <c r="HK363" t="s">
        <v>815</v>
      </c>
      <c r="HL363">
        <v>1.44</v>
      </c>
      <c r="HM363">
        <v>0</v>
      </c>
      <c r="HN363">
        <v>30</v>
      </c>
      <c r="HO363" t="s">
        <v>1454</v>
      </c>
      <c r="HP363" s="26" t="s">
        <v>1358</v>
      </c>
      <c r="HZ363" t="s">
        <v>1295</v>
      </c>
      <c r="IA363">
        <v>110</v>
      </c>
      <c r="IB363" s="10" t="s">
        <v>1</v>
      </c>
      <c r="IC363" s="10"/>
      <c r="ID363" s="10"/>
      <c r="IE363" s="10" t="s">
        <v>1</v>
      </c>
      <c r="IF363" s="10" t="s">
        <v>1</v>
      </c>
      <c r="IG363" s="10" t="s">
        <v>1</v>
      </c>
      <c r="IH363" s="10" t="s">
        <v>1</v>
      </c>
      <c r="II363" s="10" t="s">
        <v>1</v>
      </c>
      <c r="IJ363" s="10" t="s">
        <v>1</v>
      </c>
      <c r="IK363" s="10" t="s">
        <v>1</v>
      </c>
      <c r="IL363" s="10" t="s">
        <v>1</v>
      </c>
      <c r="IM363" s="10" t="s">
        <v>1</v>
      </c>
      <c r="IN363" s="10" t="s">
        <v>1</v>
      </c>
      <c r="IO363" s="10" t="s">
        <v>1</v>
      </c>
      <c r="IP363" s="10" t="s">
        <v>1</v>
      </c>
      <c r="IQ363" s="10" t="s">
        <v>1</v>
      </c>
      <c r="IR363" s="10" t="s">
        <v>1</v>
      </c>
      <c r="IS363" t="s">
        <v>1</v>
      </c>
      <c r="IT363" t="s">
        <v>1</v>
      </c>
      <c r="IW363" t="s">
        <v>1</v>
      </c>
      <c r="IX363" t="s">
        <v>1</v>
      </c>
      <c r="IY363" t="s">
        <v>1</v>
      </c>
      <c r="IZ363" t="s">
        <v>1</v>
      </c>
      <c r="JA363" t="s">
        <v>1065</v>
      </c>
      <c r="JB363" s="3">
        <v>34</v>
      </c>
      <c r="JC363" t="s">
        <v>1</v>
      </c>
      <c r="JD363" s="4" t="s">
        <v>1</v>
      </c>
      <c r="JE363" t="s">
        <v>810</v>
      </c>
      <c r="JF363">
        <v>100</v>
      </c>
      <c r="JR363" t="s">
        <v>1066</v>
      </c>
      <c r="JS363">
        <v>102.7</v>
      </c>
      <c r="JU363" t="s">
        <v>1</v>
      </c>
      <c r="JW363" t="s">
        <v>1</v>
      </c>
      <c r="JX363">
        <v>0</v>
      </c>
      <c r="JY363">
        <v>55.000000000000007</v>
      </c>
      <c r="JZ363" t="s">
        <v>802</v>
      </c>
      <c r="KA363" t="s">
        <v>346</v>
      </c>
      <c r="KB363" t="s">
        <v>738</v>
      </c>
      <c r="KC363" t="s">
        <v>1</v>
      </c>
      <c r="KD363" t="s">
        <v>1</v>
      </c>
      <c r="KE363" s="1" t="s">
        <v>1</v>
      </c>
      <c r="KF363" t="s">
        <v>1</v>
      </c>
      <c r="KG363" t="s">
        <v>1</v>
      </c>
      <c r="KH363" t="s">
        <v>1</v>
      </c>
      <c r="KI363" t="s">
        <v>1</v>
      </c>
      <c r="KJ363" t="s">
        <v>1</v>
      </c>
      <c r="KK363" t="s">
        <v>1</v>
      </c>
    </row>
    <row r="364" spans="1:297" x14ac:dyDescent="0.2">
      <c r="A364">
        <v>332</v>
      </c>
      <c r="B364" t="s">
        <v>705</v>
      </c>
      <c r="C364" t="s">
        <v>415</v>
      </c>
      <c r="D364" t="s">
        <v>414</v>
      </c>
      <c r="E364">
        <v>61</v>
      </c>
      <c r="F364" t="s">
        <v>781</v>
      </c>
      <c r="G364" t="s">
        <v>1</v>
      </c>
      <c r="H364" s="26" t="s">
        <v>1420</v>
      </c>
      <c r="I364" t="s">
        <v>1</v>
      </c>
      <c r="J364" t="s">
        <v>1</v>
      </c>
      <c r="K364" t="s">
        <v>1</v>
      </c>
      <c r="L364" t="s">
        <v>1</v>
      </c>
      <c r="M364" t="s">
        <v>1</v>
      </c>
      <c r="N364" t="s">
        <v>1</v>
      </c>
      <c r="O364" t="s">
        <v>1</v>
      </c>
      <c r="P364" t="s">
        <v>1</v>
      </c>
      <c r="Q364" t="s">
        <v>1</v>
      </c>
      <c r="R364" t="s">
        <v>1</v>
      </c>
      <c r="S364" t="s">
        <v>1</v>
      </c>
      <c r="T364" t="s">
        <v>1</v>
      </c>
      <c r="U364" t="s">
        <v>1</v>
      </c>
      <c r="V364" t="s">
        <v>1</v>
      </c>
      <c r="W364" t="s">
        <v>1</v>
      </c>
      <c r="X364" t="s">
        <v>1</v>
      </c>
      <c r="Y364" t="s">
        <v>1</v>
      </c>
      <c r="Z364" t="s">
        <v>1</v>
      </c>
      <c r="AA364" t="s">
        <v>1</v>
      </c>
      <c r="AB364" t="s">
        <v>1</v>
      </c>
      <c r="AC364" t="s">
        <v>1</v>
      </c>
      <c r="AD364" t="s">
        <v>1</v>
      </c>
      <c r="AE364" t="s">
        <v>1</v>
      </c>
      <c r="AF364" t="s">
        <v>1</v>
      </c>
      <c r="AG364" t="s">
        <v>1</v>
      </c>
      <c r="AH364" t="s">
        <v>1</v>
      </c>
      <c r="AI364" t="s">
        <v>1</v>
      </c>
      <c r="AJ364" t="s">
        <v>1</v>
      </c>
      <c r="AK364" t="s">
        <v>1</v>
      </c>
      <c r="AL364" t="s">
        <v>1</v>
      </c>
      <c r="AM364" t="s">
        <v>1</v>
      </c>
      <c r="AN364">
        <v>332</v>
      </c>
      <c r="AO364">
        <f t="shared" si="45"/>
        <v>332</v>
      </c>
      <c r="AP364">
        <f t="shared" si="47"/>
        <v>61</v>
      </c>
      <c r="AQ364">
        <f t="shared" si="48"/>
        <v>61</v>
      </c>
      <c r="AR364" s="26" t="s">
        <v>1355</v>
      </c>
      <c r="AS364" s="26" t="s">
        <v>1356</v>
      </c>
      <c r="AT364" t="s">
        <v>710</v>
      </c>
      <c r="AU364" t="s">
        <v>1</v>
      </c>
      <c r="AV364" t="s">
        <v>1</v>
      </c>
      <c r="AW364">
        <v>40.17</v>
      </c>
      <c r="AX364">
        <v>116.45</v>
      </c>
      <c r="AY364" t="s">
        <v>737</v>
      </c>
      <c r="BA364" s="3">
        <v>12</v>
      </c>
      <c r="BB364" s="3"/>
      <c r="BC364" s="3"/>
      <c r="BD364" s="3"/>
      <c r="BE364" s="3"/>
      <c r="BF364">
        <v>2010</v>
      </c>
      <c r="BG364" s="24" t="s">
        <v>733</v>
      </c>
      <c r="BH364" s="24" t="s">
        <v>733</v>
      </c>
      <c r="BI364" s="24" t="s">
        <v>733</v>
      </c>
      <c r="BJ364" s="24" t="s">
        <v>732</v>
      </c>
      <c r="BK364" s="24" t="s">
        <v>733</v>
      </c>
      <c r="BL364" s="25" t="s">
        <v>733</v>
      </c>
      <c r="BM364" s="24" t="s">
        <v>733</v>
      </c>
      <c r="BN364" s="24" t="s">
        <v>732</v>
      </c>
      <c r="BO364" s="24" t="s">
        <v>733</v>
      </c>
      <c r="BP364" s="24" t="s">
        <v>733</v>
      </c>
      <c r="BQ364" s="24" t="s">
        <v>945</v>
      </c>
      <c r="BR364" s="24" t="s">
        <v>945</v>
      </c>
      <c r="BS364" s="25" t="s">
        <v>934</v>
      </c>
      <c r="BT364" s="24" t="s">
        <v>934</v>
      </c>
      <c r="BU364" s="24" t="s">
        <v>934</v>
      </c>
      <c r="BV364" s="24" t="s">
        <v>934</v>
      </c>
      <c r="BW364" s="24" t="s">
        <v>934</v>
      </c>
      <c r="BX364" s="24" t="s">
        <v>934</v>
      </c>
      <c r="BY364" s="25" t="s">
        <v>945</v>
      </c>
      <c r="BZ364" t="s">
        <v>5</v>
      </c>
      <c r="CB364" t="s">
        <v>1</v>
      </c>
      <c r="CC364" s="4">
        <f>400.7*240.9/10</f>
        <v>9652.8630000000012</v>
      </c>
      <c r="CD364" s="4"/>
      <c r="CE364" s="4"/>
      <c r="CF364" t="s">
        <v>793</v>
      </c>
      <c r="CG364">
        <v>100</v>
      </c>
      <c r="CH364" t="s">
        <v>805</v>
      </c>
      <c r="CI364" s="8">
        <v>1</v>
      </c>
      <c r="CJ364" s="10" t="s">
        <v>1442</v>
      </c>
      <c r="CK364" t="s">
        <v>807</v>
      </c>
      <c r="CL364" s="4">
        <f>400.7*240.9/10/30%-9652.863</f>
        <v>22523.347000000009</v>
      </c>
      <c r="CM364" t="s">
        <v>848</v>
      </c>
      <c r="CN364" s="4">
        <f>400.7*240.9/10*(8.88%/6.25)</f>
        <v>137.14787750400001</v>
      </c>
      <c r="CO364" s="4" t="s">
        <v>1</v>
      </c>
      <c r="CP364" s="4" t="s">
        <v>1</v>
      </c>
      <c r="CQ364" s="4" t="s">
        <v>1</v>
      </c>
      <c r="CR364" s="4" t="s">
        <v>1</v>
      </c>
      <c r="CS364" s="4" t="s">
        <v>1</v>
      </c>
      <c r="CT364" s="4" t="s">
        <v>1</v>
      </c>
      <c r="CU364" s="4" t="s">
        <v>1</v>
      </c>
      <c r="CV364" s="37" t="s">
        <v>855</v>
      </c>
      <c r="CW364">
        <v>100</v>
      </c>
      <c r="CX364">
        <v>0</v>
      </c>
      <c r="CY364">
        <v>30</v>
      </c>
      <c r="CZ364" s="26" t="s">
        <v>1358</v>
      </c>
      <c r="DA364" t="s">
        <v>734</v>
      </c>
      <c r="DB364">
        <v>61.7</v>
      </c>
      <c r="DC364">
        <v>0</v>
      </c>
      <c r="DD364">
        <v>30</v>
      </c>
      <c r="DE364" s="26" t="s">
        <v>1358</v>
      </c>
      <c r="DF364" t="s">
        <v>735</v>
      </c>
      <c r="DG364">
        <v>20.7</v>
      </c>
      <c r="DH364">
        <v>0</v>
      </c>
      <c r="DI364">
        <v>30</v>
      </c>
      <c r="DJ364" s="26" t="s">
        <v>1358</v>
      </c>
      <c r="DK364" t="s">
        <v>736</v>
      </c>
      <c r="DL364">
        <v>17.7</v>
      </c>
      <c r="DM364">
        <v>0</v>
      </c>
      <c r="DN364">
        <v>30</v>
      </c>
      <c r="DO364" s="26" t="s">
        <v>1358</v>
      </c>
      <c r="DP364" t="s">
        <v>1</v>
      </c>
      <c r="DQ364" t="s">
        <v>1</v>
      </c>
      <c r="DR364" t="s">
        <v>1</v>
      </c>
      <c r="DS364" t="s">
        <v>1</v>
      </c>
      <c r="DT364" t="s">
        <v>1</v>
      </c>
      <c r="DU364" t="s">
        <v>1</v>
      </c>
      <c r="EA364" t="s">
        <v>1</v>
      </c>
      <c r="EB364" t="s">
        <v>1</v>
      </c>
      <c r="EC364" t="s">
        <v>1</v>
      </c>
      <c r="ED364" t="s">
        <v>1</v>
      </c>
      <c r="EE364" t="s">
        <v>1</v>
      </c>
      <c r="FZ364" t="s">
        <v>806</v>
      </c>
      <c r="GA364">
        <v>298.7</v>
      </c>
      <c r="GE364" s="26" t="s">
        <v>1358</v>
      </c>
      <c r="HA364" s="5" t="s">
        <v>1</v>
      </c>
      <c r="HB364" s="4" t="s">
        <v>1</v>
      </c>
      <c r="HC364" t="s">
        <v>1</v>
      </c>
      <c r="HD364" t="s">
        <v>1</v>
      </c>
      <c r="HE364" t="s">
        <v>1</v>
      </c>
      <c r="HF364" s="5" t="s">
        <v>1063</v>
      </c>
      <c r="HG364" s="4">
        <v>75.5</v>
      </c>
      <c r="HH364">
        <v>0</v>
      </c>
      <c r="HI364">
        <v>30</v>
      </c>
      <c r="HJ364" s="26" t="s">
        <v>1358</v>
      </c>
      <c r="HK364" t="s">
        <v>815</v>
      </c>
      <c r="HL364" s="34">
        <v>1.3966666666666667</v>
      </c>
      <c r="HM364">
        <v>0</v>
      </c>
      <c r="HN364">
        <v>30</v>
      </c>
      <c r="HO364" t="s">
        <v>1</v>
      </c>
      <c r="HP364" s="26" t="s">
        <v>1358</v>
      </c>
      <c r="HZ364" t="s">
        <v>969</v>
      </c>
      <c r="IA364">
        <v>300</v>
      </c>
      <c r="IB364" s="10" t="s">
        <v>1</v>
      </c>
      <c r="IC364" s="10"/>
      <c r="ID364" s="10"/>
      <c r="IE364" s="10" t="s">
        <v>1</v>
      </c>
      <c r="IF364" s="10" t="s">
        <v>1</v>
      </c>
      <c r="IG364" s="10"/>
      <c r="IH364" s="10"/>
      <c r="II364" s="10"/>
      <c r="IJ364" s="10"/>
      <c r="IK364" s="10"/>
      <c r="IL364" s="10"/>
      <c r="IM364" s="10"/>
      <c r="IN364" s="10"/>
      <c r="IO364" s="10"/>
      <c r="IP364" s="10"/>
      <c r="IQ364" s="10"/>
      <c r="IR364" s="10"/>
      <c r="IS364" t="s">
        <v>1</v>
      </c>
      <c r="IT364" t="s">
        <v>1</v>
      </c>
      <c r="IW364" t="s">
        <v>1</v>
      </c>
      <c r="IX364" t="s">
        <v>1</v>
      </c>
      <c r="IY364" t="s">
        <v>808</v>
      </c>
      <c r="IZ364">
        <v>600</v>
      </c>
      <c r="JA364" t="s">
        <v>1</v>
      </c>
      <c r="JB364" s="3" t="s">
        <v>1</v>
      </c>
      <c r="JC364" t="s">
        <v>1</v>
      </c>
      <c r="JD364" s="4" t="s">
        <v>1</v>
      </c>
      <c r="JE364" t="s">
        <v>1</v>
      </c>
      <c r="JF364" t="s">
        <v>1</v>
      </c>
      <c r="JR364" t="s">
        <v>1066</v>
      </c>
      <c r="JS364">
        <v>48.4</v>
      </c>
      <c r="JU364" t="s">
        <v>1</v>
      </c>
      <c r="JW364" t="s">
        <v>842</v>
      </c>
      <c r="JX364">
        <v>0</v>
      </c>
      <c r="JY364">
        <v>125</v>
      </c>
      <c r="JZ364" t="s">
        <v>796</v>
      </c>
      <c r="KA364" t="s">
        <v>198</v>
      </c>
      <c r="KB364" t="s">
        <v>738</v>
      </c>
      <c r="KC364" t="s">
        <v>1</v>
      </c>
      <c r="KD364" t="s">
        <v>1</v>
      </c>
      <c r="KE364" s="1" t="s">
        <v>1</v>
      </c>
      <c r="KF364" t="s">
        <v>1</v>
      </c>
      <c r="KG364" t="s">
        <v>1</v>
      </c>
      <c r="KH364" t="s">
        <v>1</v>
      </c>
      <c r="KI364" t="s">
        <v>1</v>
      </c>
      <c r="KJ364" t="s">
        <v>1</v>
      </c>
      <c r="KK364" t="s">
        <v>1</v>
      </c>
    </row>
    <row r="365" spans="1:297" x14ac:dyDescent="0.2">
      <c r="A365">
        <v>333</v>
      </c>
      <c r="B365" t="s">
        <v>705</v>
      </c>
      <c r="C365" t="s">
        <v>416</v>
      </c>
      <c r="D365" t="s">
        <v>414</v>
      </c>
      <c r="E365">
        <v>61</v>
      </c>
      <c r="F365" t="s">
        <v>781</v>
      </c>
      <c r="G365" t="s">
        <v>1</v>
      </c>
      <c r="H365" s="26" t="s">
        <v>1420</v>
      </c>
      <c r="I365" t="s">
        <v>1</v>
      </c>
      <c r="J365" t="s">
        <v>1</v>
      </c>
      <c r="K365" t="s">
        <v>1</v>
      </c>
      <c r="L365" t="s">
        <v>1</v>
      </c>
      <c r="M365" t="s">
        <v>1</v>
      </c>
      <c r="N365" t="s">
        <v>1</v>
      </c>
      <c r="O365" t="s">
        <v>1</v>
      </c>
      <c r="P365" t="s">
        <v>1</v>
      </c>
      <c r="Q365" t="s">
        <v>1</v>
      </c>
      <c r="R365" t="s">
        <v>1</v>
      </c>
      <c r="S365" t="s">
        <v>1</v>
      </c>
      <c r="T365" t="s">
        <v>1</v>
      </c>
      <c r="U365" t="s">
        <v>1</v>
      </c>
      <c r="V365" t="s">
        <v>1</v>
      </c>
      <c r="W365" t="s">
        <v>1</v>
      </c>
      <c r="X365" t="s">
        <v>1</v>
      </c>
      <c r="Y365" t="s">
        <v>1</v>
      </c>
      <c r="Z365" t="s">
        <v>1</v>
      </c>
      <c r="AA365" t="s">
        <v>1</v>
      </c>
      <c r="AB365" t="s">
        <v>1</v>
      </c>
      <c r="AC365" t="s">
        <v>1</v>
      </c>
      <c r="AD365" t="s">
        <v>1</v>
      </c>
      <c r="AE365" t="s">
        <v>1</v>
      </c>
      <c r="AF365" t="s">
        <v>1</v>
      </c>
      <c r="AG365" t="s">
        <v>1</v>
      </c>
      <c r="AH365" t="s">
        <v>1</v>
      </c>
      <c r="AI365" t="s">
        <v>1</v>
      </c>
      <c r="AJ365" t="s">
        <v>1</v>
      </c>
      <c r="AK365" t="s">
        <v>1</v>
      </c>
      <c r="AL365" t="s">
        <v>1</v>
      </c>
      <c r="AM365" t="s">
        <v>1</v>
      </c>
      <c r="AN365">
        <v>333</v>
      </c>
      <c r="AO365">
        <f t="shared" si="45"/>
        <v>333</v>
      </c>
      <c r="AP365">
        <f t="shared" si="47"/>
        <v>61</v>
      </c>
      <c r="AQ365">
        <f t="shared" si="48"/>
        <v>61</v>
      </c>
      <c r="AR365" s="26" t="s">
        <v>1355</v>
      </c>
      <c r="AS365" s="26" t="s">
        <v>1356</v>
      </c>
      <c r="AT365" t="s">
        <v>710</v>
      </c>
      <c r="AU365" t="s">
        <v>1</v>
      </c>
      <c r="AV365" t="s">
        <v>1</v>
      </c>
      <c r="AW365">
        <v>40.17</v>
      </c>
      <c r="AX365">
        <v>116.45</v>
      </c>
      <c r="AY365" t="s">
        <v>737</v>
      </c>
      <c r="BA365" s="3">
        <v>12</v>
      </c>
      <c r="BB365" s="3"/>
      <c r="BC365" s="3"/>
      <c r="BD365" s="3"/>
      <c r="BE365" s="3"/>
      <c r="BF365">
        <v>2010</v>
      </c>
      <c r="BG365" s="24" t="s">
        <v>733</v>
      </c>
      <c r="BH365" s="24" t="s">
        <v>733</v>
      </c>
      <c r="BI365" s="24" t="s">
        <v>733</v>
      </c>
      <c r="BJ365" s="24" t="s">
        <v>732</v>
      </c>
      <c r="BK365" s="24" t="s">
        <v>733</v>
      </c>
      <c r="BL365" s="25" t="s">
        <v>733</v>
      </c>
      <c r="BM365" s="24" t="s">
        <v>733</v>
      </c>
      <c r="BN365" s="24" t="s">
        <v>732</v>
      </c>
      <c r="BO365" s="24" t="s">
        <v>733</v>
      </c>
      <c r="BP365" s="24" t="s">
        <v>733</v>
      </c>
      <c r="BQ365" s="24" t="s">
        <v>945</v>
      </c>
      <c r="BR365" s="24" t="s">
        <v>945</v>
      </c>
      <c r="BS365" s="25" t="s">
        <v>934</v>
      </c>
      <c r="BT365" s="24" t="s">
        <v>934</v>
      </c>
      <c r="BU365" s="24" t="s">
        <v>934</v>
      </c>
      <c r="BV365" s="24" t="s">
        <v>934</v>
      </c>
      <c r="BW365" s="24" t="s">
        <v>934</v>
      </c>
      <c r="BX365" s="24" t="s">
        <v>934</v>
      </c>
      <c r="BY365" s="25" t="s">
        <v>945</v>
      </c>
      <c r="BZ365" t="s">
        <v>5</v>
      </c>
      <c r="CB365" t="s">
        <v>1</v>
      </c>
      <c r="CC365" s="4">
        <f>382.5*225.8/10</f>
        <v>8636.85</v>
      </c>
      <c r="CD365" s="4"/>
      <c r="CE365" s="4"/>
      <c r="CF365" t="s">
        <v>793</v>
      </c>
      <c r="CG365">
        <v>100</v>
      </c>
      <c r="CH365" t="s">
        <v>805</v>
      </c>
      <c r="CI365" s="8">
        <v>1</v>
      </c>
      <c r="CJ365" s="10" t="s">
        <v>1442</v>
      </c>
      <c r="CK365" t="s">
        <v>807</v>
      </c>
      <c r="CL365" s="4">
        <f>382.5*225.8/10/30%-8636.85</f>
        <v>20152.650000000001</v>
      </c>
      <c r="CM365" t="s">
        <v>848</v>
      </c>
      <c r="CN365" s="4">
        <f>382.5*225.8/10*(8.41%/6.25)</f>
        <v>116.21745360000001</v>
      </c>
      <c r="CO365" s="4" t="s">
        <v>1</v>
      </c>
      <c r="CP365" s="4" t="s">
        <v>1</v>
      </c>
      <c r="CQ365" s="4" t="s">
        <v>1</v>
      </c>
      <c r="CR365" s="4" t="s">
        <v>1</v>
      </c>
      <c r="CS365" s="4" t="s">
        <v>1</v>
      </c>
      <c r="CT365" s="4" t="s">
        <v>1</v>
      </c>
      <c r="CU365" s="4" t="s">
        <v>1</v>
      </c>
      <c r="CV365" s="37" t="s">
        <v>855</v>
      </c>
      <c r="CW365">
        <v>100</v>
      </c>
      <c r="CX365">
        <v>0</v>
      </c>
      <c r="CY365">
        <v>30</v>
      </c>
      <c r="CZ365" s="26" t="s">
        <v>1358</v>
      </c>
      <c r="DA365" t="s">
        <v>734</v>
      </c>
      <c r="DB365">
        <v>61.7</v>
      </c>
      <c r="DC365">
        <v>0</v>
      </c>
      <c r="DD365">
        <v>30</v>
      </c>
      <c r="DE365" s="26" t="s">
        <v>1358</v>
      </c>
      <c r="DF365" t="s">
        <v>735</v>
      </c>
      <c r="DG365">
        <v>20.7</v>
      </c>
      <c r="DH365">
        <v>0</v>
      </c>
      <c r="DI365">
        <v>30</v>
      </c>
      <c r="DJ365" s="26" t="s">
        <v>1358</v>
      </c>
      <c r="DK365" t="s">
        <v>736</v>
      </c>
      <c r="DL365">
        <v>17.7</v>
      </c>
      <c r="DM365">
        <v>0</v>
      </c>
      <c r="DN365">
        <v>30</v>
      </c>
      <c r="DO365" s="26" t="s">
        <v>1358</v>
      </c>
      <c r="DP365" t="s">
        <v>1</v>
      </c>
      <c r="DQ365" t="s">
        <v>1</v>
      </c>
      <c r="DR365" t="s">
        <v>1</v>
      </c>
      <c r="DS365" t="s">
        <v>1</v>
      </c>
      <c r="DT365" t="s">
        <v>1</v>
      </c>
      <c r="DU365" t="s">
        <v>1</v>
      </c>
      <c r="EA365" t="s">
        <v>1</v>
      </c>
      <c r="EB365" t="s">
        <v>1</v>
      </c>
      <c r="EC365" t="s">
        <v>1</v>
      </c>
      <c r="ED365" t="s">
        <v>1</v>
      </c>
      <c r="EE365" t="s">
        <v>1</v>
      </c>
      <c r="FZ365" t="s">
        <v>806</v>
      </c>
      <c r="GA365">
        <v>298.7</v>
      </c>
      <c r="GE365" s="26" t="s">
        <v>1358</v>
      </c>
      <c r="HA365" s="5" t="s">
        <v>1</v>
      </c>
      <c r="HB365" s="4" t="s">
        <v>1</v>
      </c>
      <c r="HC365" t="s">
        <v>1</v>
      </c>
      <c r="HD365" t="s">
        <v>1</v>
      </c>
      <c r="HE365" t="s">
        <v>1</v>
      </c>
      <c r="HF365" s="5" t="s">
        <v>1063</v>
      </c>
      <c r="HG365" s="4">
        <v>75.5</v>
      </c>
      <c r="HH365">
        <v>0</v>
      </c>
      <c r="HI365">
        <v>30</v>
      </c>
      <c r="HJ365" s="26" t="s">
        <v>1358</v>
      </c>
      <c r="HK365" t="s">
        <v>815</v>
      </c>
      <c r="HL365" s="34">
        <v>1.3966666666666667</v>
      </c>
      <c r="HM365">
        <v>0</v>
      </c>
      <c r="HN365">
        <v>30</v>
      </c>
      <c r="HO365" t="s">
        <v>1</v>
      </c>
      <c r="HP365" s="26" t="s">
        <v>1358</v>
      </c>
      <c r="HZ365" t="s">
        <v>969</v>
      </c>
      <c r="IA365">
        <v>225</v>
      </c>
      <c r="IB365" s="10" t="s">
        <v>1</v>
      </c>
      <c r="IC365" s="10"/>
      <c r="ID365" s="10"/>
      <c r="IE365" s="10" t="s">
        <v>1</v>
      </c>
      <c r="IF365" s="10" t="s">
        <v>1</v>
      </c>
      <c r="IG365" s="10"/>
      <c r="IH365" s="10"/>
      <c r="II365" s="10"/>
      <c r="IJ365" s="10"/>
      <c r="IK365" s="10"/>
      <c r="IL365" s="10"/>
      <c r="IM365" s="10"/>
      <c r="IN365" s="10"/>
      <c r="IO365" s="10"/>
      <c r="IP365" s="10"/>
      <c r="IQ365" s="10"/>
      <c r="IR365" s="10"/>
      <c r="IS365" t="s">
        <v>1</v>
      </c>
      <c r="IT365" t="s">
        <v>1</v>
      </c>
      <c r="IW365" t="s">
        <v>1</v>
      </c>
      <c r="IX365" t="s">
        <v>1</v>
      </c>
      <c r="IY365" t="s">
        <v>808</v>
      </c>
      <c r="IZ365">
        <v>600</v>
      </c>
      <c r="JA365" t="s">
        <v>1</v>
      </c>
      <c r="JB365" s="3" t="s">
        <v>1</v>
      </c>
      <c r="JC365" t="s">
        <v>1</v>
      </c>
      <c r="JD365" s="4" t="s">
        <v>1</v>
      </c>
      <c r="JE365" t="s">
        <v>1</v>
      </c>
      <c r="JF365" t="s">
        <v>1</v>
      </c>
      <c r="JR365" t="s">
        <v>1066</v>
      </c>
      <c r="JS365">
        <v>43.8</v>
      </c>
      <c r="JU365" t="s">
        <v>1</v>
      </c>
      <c r="JW365" t="s">
        <v>842</v>
      </c>
      <c r="JX365">
        <v>0</v>
      </c>
      <c r="JY365">
        <v>125</v>
      </c>
      <c r="JZ365" t="s">
        <v>796</v>
      </c>
      <c r="KA365" t="s">
        <v>198</v>
      </c>
      <c r="KB365" t="s">
        <v>738</v>
      </c>
      <c r="KC365" t="s">
        <v>1</v>
      </c>
      <c r="KD365" t="s">
        <v>1</v>
      </c>
      <c r="KE365" s="1" t="s">
        <v>1</v>
      </c>
      <c r="KF365" t="s">
        <v>1</v>
      </c>
      <c r="KG365" t="s">
        <v>1</v>
      </c>
      <c r="KH365" t="s">
        <v>1</v>
      </c>
      <c r="KI365" t="s">
        <v>1</v>
      </c>
      <c r="KJ365" t="s">
        <v>1</v>
      </c>
      <c r="KK365" t="s">
        <v>1</v>
      </c>
    </row>
    <row r="366" spans="1:297" x14ac:dyDescent="0.2">
      <c r="A366">
        <v>334</v>
      </c>
      <c r="B366" t="s">
        <v>705</v>
      </c>
      <c r="C366" t="s">
        <v>417</v>
      </c>
      <c r="D366" t="s">
        <v>414</v>
      </c>
      <c r="E366">
        <v>61</v>
      </c>
      <c r="F366" t="s">
        <v>781</v>
      </c>
      <c r="G366" t="s">
        <v>1</v>
      </c>
      <c r="H366" s="26" t="s">
        <v>1420</v>
      </c>
      <c r="I366" t="s">
        <v>1</v>
      </c>
      <c r="J366" t="s">
        <v>1</v>
      </c>
      <c r="K366" t="s">
        <v>1</v>
      </c>
      <c r="L366" t="s">
        <v>1</v>
      </c>
      <c r="M366" t="s">
        <v>1</v>
      </c>
      <c r="N366" t="s">
        <v>1</v>
      </c>
      <c r="O366" t="s">
        <v>1</v>
      </c>
      <c r="P366" t="s">
        <v>1</v>
      </c>
      <c r="Q366" t="s">
        <v>1</v>
      </c>
      <c r="R366" t="s">
        <v>1</v>
      </c>
      <c r="S366" t="s">
        <v>1</v>
      </c>
      <c r="T366" t="s">
        <v>1</v>
      </c>
      <c r="U366" t="s">
        <v>1</v>
      </c>
      <c r="V366" t="s">
        <v>1</v>
      </c>
      <c r="W366" t="s">
        <v>1</v>
      </c>
      <c r="X366" t="s">
        <v>1</v>
      </c>
      <c r="Y366" t="s">
        <v>1</v>
      </c>
      <c r="Z366" t="s">
        <v>1</v>
      </c>
      <c r="AA366" t="s">
        <v>1</v>
      </c>
      <c r="AB366" t="s">
        <v>1</v>
      </c>
      <c r="AC366" t="s">
        <v>1</v>
      </c>
      <c r="AD366" t="s">
        <v>1</v>
      </c>
      <c r="AE366" t="s">
        <v>1</v>
      </c>
      <c r="AF366" t="s">
        <v>1</v>
      </c>
      <c r="AG366" t="s">
        <v>1</v>
      </c>
      <c r="AH366" t="s">
        <v>1</v>
      </c>
      <c r="AI366" t="s">
        <v>1</v>
      </c>
      <c r="AJ366" t="s">
        <v>1</v>
      </c>
      <c r="AK366" t="s">
        <v>1</v>
      </c>
      <c r="AL366" t="s">
        <v>1</v>
      </c>
      <c r="AM366" t="s">
        <v>1</v>
      </c>
      <c r="AN366">
        <v>334</v>
      </c>
      <c r="AO366">
        <f t="shared" si="45"/>
        <v>334</v>
      </c>
      <c r="AP366">
        <f t="shared" si="47"/>
        <v>61</v>
      </c>
      <c r="AQ366">
        <f t="shared" si="48"/>
        <v>61</v>
      </c>
      <c r="AR366" s="26" t="s">
        <v>1355</v>
      </c>
      <c r="AS366" s="26" t="s">
        <v>1356</v>
      </c>
      <c r="AT366" t="s">
        <v>710</v>
      </c>
      <c r="AU366" t="s">
        <v>1</v>
      </c>
      <c r="AV366" t="s">
        <v>1</v>
      </c>
      <c r="AW366">
        <v>40.17</v>
      </c>
      <c r="AX366">
        <v>116.45</v>
      </c>
      <c r="AY366" t="s">
        <v>737</v>
      </c>
      <c r="BA366" s="3">
        <v>12</v>
      </c>
      <c r="BB366" s="3"/>
      <c r="BC366" s="3"/>
      <c r="BD366" s="3"/>
      <c r="BE366" s="3"/>
      <c r="BF366">
        <v>2010</v>
      </c>
      <c r="BG366" s="24" t="s">
        <v>733</v>
      </c>
      <c r="BH366" s="24" t="s">
        <v>733</v>
      </c>
      <c r="BI366" s="24" t="s">
        <v>733</v>
      </c>
      <c r="BJ366" s="24" t="s">
        <v>732</v>
      </c>
      <c r="BK366" s="24" t="s">
        <v>733</v>
      </c>
      <c r="BL366" s="25" t="s">
        <v>733</v>
      </c>
      <c r="BM366" s="24" t="s">
        <v>733</v>
      </c>
      <c r="BN366" s="24" t="s">
        <v>732</v>
      </c>
      <c r="BO366" s="24" t="s">
        <v>733</v>
      </c>
      <c r="BP366" s="24" t="s">
        <v>733</v>
      </c>
      <c r="BQ366" s="24" t="s">
        <v>945</v>
      </c>
      <c r="BR366" s="24" t="s">
        <v>945</v>
      </c>
      <c r="BS366" s="25" t="s">
        <v>934</v>
      </c>
      <c r="BT366" s="24" t="s">
        <v>934</v>
      </c>
      <c r="BU366" s="24" t="s">
        <v>934</v>
      </c>
      <c r="BV366" s="24" t="s">
        <v>934</v>
      </c>
      <c r="BW366" s="24" t="s">
        <v>934</v>
      </c>
      <c r="BX366" s="24" t="s">
        <v>934</v>
      </c>
      <c r="BY366" s="25" t="s">
        <v>945</v>
      </c>
      <c r="BZ366" t="s">
        <v>5</v>
      </c>
      <c r="CB366" t="s">
        <v>1</v>
      </c>
      <c r="CC366" s="4">
        <f>349.3*207.6/10</f>
        <v>7251.4680000000008</v>
      </c>
      <c r="CD366" s="4"/>
      <c r="CE366" s="4"/>
      <c r="CF366" t="s">
        <v>793</v>
      </c>
      <c r="CG366">
        <v>100</v>
      </c>
      <c r="CH366" t="s">
        <v>805</v>
      </c>
      <c r="CI366" s="8">
        <v>1</v>
      </c>
      <c r="CJ366" s="10" t="s">
        <v>1442</v>
      </c>
      <c r="CK366" t="s">
        <v>807</v>
      </c>
      <c r="CL366" s="4">
        <f>349.3*207.6/10/30%-7251.468</f>
        <v>16920.092000000004</v>
      </c>
      <c r="CM366" t="s">
        <v>848</v>
      </c>
      <c r="CN366" s="4">
        <f>349.3*207.6/10*(7.45%/6.25)</f>
        <v>86.437498560000009</v>
      </c>
      <c r="CO366" s="4" t="s">
        <v>1</v>
      </c>
      <c r="CP366" s="4" t="s">
        <v>1</v>
      </c>
      <c r="CQ366" s="4" t="s">
        <v>1</v>
      </c>
      <c r="CR366" s="4" t="s">
        <v>1</v>
      </c>
      <c r="CS366" s="4" t="s">
        <v>1</v>
      </c>
      <c r="CT366" s="4" t="s">
        <v>1</v>
      </c>
      <c r="CU366" s="4" t="s">
        <v>1</v>
      </c>
      <c r="CV366" s="37" t="s">
        <v>855</v>
      </c>
      <c r="CW366">
        <v>100</v>
      </c>
      <c r="CX366">
        <v>0</v>
      </c>
      <c r="CY366">
        <v>30</v>
      </c>
      <c r="CZ366" s="26" t="s">
        <v>1358</v>
      </c>
      <c r="DA366" t="s">
        <v>734</v>
      </c>
      <c r="DB366">
        <v>61.7</v>
      </c>
      <c r="DC366">
        <v>0</v>
      </c>
      <c r="DD366">
        <v>30</v>
      </c>
      <c r="DE366" s="26" t="s">
        <v>1358</v>
      </c>
      <c r="DF366" t="s">
        <v>735</v>
      </c>
      <c r="DG366">
        <v>20.7</v>
      </c>
      <c r="DH366">
        <v>0</v>
      </c>
      <c r="DI366">
        <v>30</v>
      </c>
      <c r="DJ366" s="26" t="s">
        <v>1358</v>
      </c>
      <c r="DK366" t="s">
        <v>736</v>
      </c>
      <c r="DL366">
        <v>17.7</v>
      </c>
      <c r="DM366">
        <v>0</v>
      </c>
      <c r="DN366">
        <v>30</v>
      </c>
      <c r="DO366" s="26" t="s">
        <v>1358</v>
      </c>
      <c r="DP366" t="s">
        <v>1</v>
      </c>
      <c r="DQ366" t="s">
        <v>1</v>
      </c>
      <c r="DR366" t="s">
        <v>1</v>
      </c>
      <c r="DS366" t="s">
        <v>1</v>
      </c>
      <c r="DT366" t="s">
        <v>1</v>
      </c>
      <c r="DU366" t="s">
        <v>1</v>
      </c>
      <c r="EA366" t="s">
        <v>1</v>
      </c>
      <c r="EB366" t="s">
        <v>1</v>
      </c>
      <c r="EC366" t="s">
        <v>1</v>
      </c>
      <c r="ED366" t="s">
        <v>1</v>
      </c>
      <c r="EE366" t="s">
        <v>1</v>
      </c>
      <c r="FZ366" t="s">
        <v>806</v>
      </c>
      <c r="GA366">
        <v>298.7</v>
      </c>
      <c r="GE366" s="26" t="s">
        <v>1358</v>
      </c>
      <c r="HA366" s="5" t="s">
        <v>1</v>
      </c>
      <c r="HB366" s="4" t="s">
        <v>1</v>
      </c>
      <c r="HC366" t="s">
        <v>1</v>
      </c>
      <c r="HD366" t="s">
        <v>1</v>
      </c>
      <c r="HE366" t="s">
        <v>1</v>
      </c>
      <c r="HF366" s="5" t="s">
        <v>1063</v>
      </c>
      <c r="HG366" s="4">
        <v>75.5</v>
      </c>
      <c r="HH366">
        <v>0</v>
      </c>
      <c r="HI366">
        <v>30</v>
      </c>
      <c r="HJ366" s="26" t="s">
        <v>1358</v>
      </c>
      <c r="HK366" t="s">
        <v>815</v>
      </c>
      <c r="HL366" s="34">
        <v>1.3966666666666667</v>
      </c>
      <c r="HM366">
        <v>0</v>
      </c>
      <c r="HN366">
        <v>30</v>
      </c>
      <c r="HO366" t="s">
        <v>1</v>
      </c>
      <c r="HP366" s="26" t="s">
        <v>1358</v>
      </c>
      <c r="HZ366" t="s">
        <v>969</v>
      </c>
      <c r="IA366">
        <v>150</v>
      </c>
      <c r="IB366" s="10" t="s">
        <v>1</v>
      </c>
      <c r="IC366" s="10"/>
      <c r="ID366" s="10"/>
      <c r="IE366" s="10" t="s">
        <v>1</v>
      </c>
      <c r="IF366" s="10" t="s">
        <v>1</v>
      </c>
      <c r="IG366" s="10"/>
      <c r="IH366" s="10"/>
      <c r="II366" s="10"/>
      <c r="IJ366" s="10"/>
      <c r="IK366" s="10"/>
      <c r="IL366" s="10"/>
      <c r="IM366" s="10"/>
      <c r="IN366" s="10"/>
      <c r="IO366" s="10"/>
      <c r="IP366" s="10"/>
      <c r="IQ366" s="10"/>
      <c r="IR366" s="10"/>
      <c r="IS366" t="s">
        <v>1</v>
      </c>
      <c r="IT366" t="s">
        <v>1</v>
      </c>
      <c r="IW366" t="s">
        <v>1</v>
      </c>
      <c r="IX366" t="s">
        <v>1</v>
      </c>
      <c r="IY366" t="s">
        <v>808</v>
      </c>
      <c r="IZ366">
        <v>600</v>
      </c>
      <c r="JA366" t="s">
        <v>1</v>
      </c>
      <c r="JB366" s="3" t="s">
        <v>1</v>
      </c>
      <c r="JC366" t="s">
        <v>1</v>
      </c>
      <c r="JD366" s="4" t="s">
        <v>1</v>
      </c>
      <c r="JE366" t="s">
        <v>1</v>
      </c>
      <c r="JF366" t="s">
        <v>1</v>
      </c>
      <c r="JR366" t="s">
        <v>1066</v>
      </c>
      <c r="JS366">
        <v>35.1</v>
      </c>
      <c r="JU366" t="s">
        <v>1</v>
      </c>
      <c r="JW366" t="s">
        <v>842</v>
      </c>
      <c r="JX366">
        <v>0</v>
      </c>
      <c r="JY366">
        <v>125</v>
      </c>
      <c r="JZ366" t="s">
        <v>796</v>
      </c>
      <c r="KA366" t="s">
        <v>198</v>
      </c>
      <c r="KB366" t="s">
        <v>738</v>
      </c>
      <c r="KC366" t="s">
        <v>1</v>
      </c>
      <c r="KD366" t="s">
        <v>1</v>
      </c>
      <c r="KE366" s="1" t="s">
        <v>1</v>
      </c>
      <c r="KF366" t="s">
        <v>1</v>
      </c>
      <c r="KG366" t="s">
        <v>1</v>
      </c>
      <c r="KH366" t="s">
        <v>1</v>
      </c>
      <c r="KI366" t="s">
        <v>1</v>
      </c>
      <c r="KJ366" t="s">
        <v>1</v>
      </c>
      <c r="KK366" t="s">
        <v>1</v>
      </c>
    </row>
    <row r="367" spans="1:297" x14ac:dyDescent="0.2">
      <c r="A367">
        <v>335</v>
      </c>
      <c r="B367" t="s">
        <v>705</v>
      </c>
      <c r="C367" t="s">
        <v>420</v>
      </c>
      <c r="D367" t="s">
        <v>418</v>
      </c>
      <c r="E367">
        <v>62</v>
      </c>
      <c r="F367" t="s">
        <v>419</v>
      </c>
      <c r="G367" t="s">
        <v>1</v>
      </c>
      <c r="H367" s="26" t="s">
        <v>1420</v>
      </c>
      <c r="I367" t="s">
        <v>1</v>
      </c>
      <c r="J367" t="s">
        <v>1</v>
      </c>
      <c r="K367" t="s">
        <v>1</v>
      </c>
      <c r="L367" t="s">
        <v>1</v>
      </c>
      <c r="M367" t="s">
        <v>1</v>
      </c>
      <c r="N367" t="s">
        <v>1</v>
      </c>
      <c r="O367" t="s">
        <v>1</v>
      </c>
      <c r="P367" t="s">
        <v>1</v>
      </c>
      <c r="Q367" t="s">
        <v>1</v>
      </c>
      <c r="R367" t="s">
        <v>1</v>
      </c>
      <c r="S367" t="s">
        <v>1</v>
      </c>
      <c r="T367" t="s">
        <v>1</v>
      </c>
      <c r="U367" t="s">
        <v>1</v>
      </c>
      <c r="V367" t="s">
        <v>1</v>
      </c>
      <c r="W367" t="s">
        <v>1</v>
      </c>
      <c r="X367" t="s">
        <v>1</v>
      </c>
      <c r="Y367" t="s">
        <v>1</v>
      </c>
      <c r="Z367" t="s">
        <v>1</v>
      </c>
      <c r="AA367" t="s">
        <v>1</v>
      </c>
      <c r="AB367" t="s">
        <v>1</v>
      </c>
      <c r="AC367" t="s">
        <v>1</v>
      </c>
      <c r="AD367" t="s">
        <v>1</v>
      </c>
      <c r="AE367" t="s">
        <v>1</v>
      </c>
      <c r="AF367" t="s">
        <v>1</v>
      </c>
      <c r="AG367" t="s">
        <v>1</v>
      </c>
      <c r="AH367" t="s">
        <v>1</v>
      </c>
      <c r="AI367" t="s">
        <v>1</v>
      </c>
      <c r="AJ367" t="s">
        <v>1</v>
      </c>
      <c r="AK367" t="s">
        <v>1</v>
      </c>
      <c r="AL367" t="s">
        <v>1</v>
      </c>
      <c r="AM367" t="s">
        <v>1</v>
      </c>
      <c r="AN367">
        <v>335</v>
      </c>
      <c r="AO367">
        <f t="shared" si="45"/>
        <v>335</v>
      </c>
      <c r="AP367">
        <f t="shared" si="47"/>
        <v>62</v>
      </c>
      <c r="AQ367">
        <f t="shared" si="48"/>
        <v>62</v>
      </c>
      <c r="AR367" s="26" t="s">
        <v>1355</v>
      </c>
      <c r="AS367" s="26" t="s">
        <v>1356</v>
      </c>
      <c r="AT367" t="s">
        <v>723</v>
      </c>
      <c r="AU367" t="s">
        <v>1</v>
      </c>
      <c r="AV367" t="s">
        <v>1</v>
      </c>
      <c r="AW367">
        <v>35.68</v>
      </c>
      <c r="AX367">
        <v>51.32</v>
      </c>
      <c r="AY367" t="s">
        <v>737</v>
      </c>
      <c r="BA367" s="3">
        <v>3</v>
      </c>
      <c r="BB367" s="3"/>
      <c r="BC367" s="3"/>
      <c r="BD367" s="3"/>
      <c r="BE367" s="3"/>
      <c r="BF367">
        <v>2007</v>
      </c>
      <c r="BG367" s="24" t="s">
        <v>733</v>
      </c>
      <c r="BH367" s="24" t="s">
        <v>733</v>
      </c>
      <c r="BI367" s="24" t="s">
        <v>733</v>
      </c>
      <c r="BJ367" s="24" t="s">
        <v>732</v>
      </c>
      <c r="BK367" s="24" t="s">
        <v>733</v>
      </c>
      <c r="BL367" s="25" t="s">
        <v>733</v>
      </c>
      <c r="BM367" s="24" t="s">
        <v>733</v>
      </c>
      <c r="BN367" s="24" t="s">
        <v>732</v>
      </c>
      <c r="BO367" s="24" t="s">
        <v>733</v>
      </c>
      <c r="BP367" s="24" t="s">
        <v>733</v>
      </c>
      <c r="BQ367" s="24" t="s">
        <v>945</v>
      </c>
      <c r="BR367" s="24" t="s">
        <v>945</v>
      </c>
      <c r="BS367" s="25" t="s">
        <v>934</v>
      </c>
      <c r="BT367" s="24" t="s">
        <v>934</v>
      </c>
      <c r="BU367" s="24" t="s">
        <v>934</v>
      </c>
      <c r="BV367" s="24" t="s">
        <v>934</v>
      </c>
      <c r="BW367" s="24" t="s">
        <v>934</v>
      </c>
      <c r="BX367" s="24" t="s">
        <v>934</v>
      </c>
      <c r="BY367" s="25" t="s">
        <v>945</v>
      </c>
      <c r="BZ367" t="s">
        <v>1393</v>
      </c>
      <c r="CB367" t="s">
        <v>1</v>
      </c>
      <c r="CC367" s="15">
        <v>1038.3</v>
      </c>
      <c r="CD367" s="15"/>
      <c r="CE367" s="15"/>
      <c r="CF367" t="s">
        <v>793</v>
      </c>
      <c r="CG367">
        <v>100</v>
      </c>
      <c r="CH367" t="s">
        <v>805</v>
      </c>
      <c r="CI367" s="1">
        <v>1</v>
      </c>
      <c r="CJ367" s="10" t="s">
        <v>1442</v>
      </c>
      <c r="CK367" t="s">
        <v>807</v>
      </c>
      <c r="CL367" s="4">
        <f>5274.9-1038.3</f>
        <v>4236.5999999999995</v>
      </c>
      <c r="CM367" t="s">
        <v>847</v>
      </c>
      <c r="CN367" s="15">
        <f>1038.3/46.03+(0.761*90-1569.31/36.76)/5006.31*4236.6</f>
        <v>44.389741059958268</v>
      </c>
      <c r="CO367" s="4" t="s">
        <v>1</v>
      </c>
      <c r="CP367" s="4" t="s">
        <v>1</v>
      </c>
      <c r="CQ367" s="4" t="s">
        <v>1</v>
      </c>
      <c r="CR367" s="4" t="s">
        <v>1</v>
      </c>
      <c r="CS367" s="4" t="s">
        <v>1</v>
      </c>
      <c r="CT367" s="4" t="s">
        <v>1</v>
      </c>
      <c r="CU367" s="4" t="s">
        <v>1</v>
      </c>
      <c r="CV367" t="s">
        <v>855</v>
      </c>
      <c r="CW367">
        <v>100</v>
      </c>
      <c r="CX367">
        <v>0</v>
      </c>
      <c r="CY367">
        <v>30</v>
      </c>
      <c r="CZ367" s="26" t="s">
        <v>1358</v>
      </c>
      <c r="DA367" t="s">
        <v>734</v>
      </c>
      <c r="DB367">
        <v>65</v>
      </c>
      <c r="DC367">
        <v>0</v>
      </c>
      <c r="DD367">
        <v>30</v>
      </c>
      <c r="DE367" s="26" t="s">
        <v>1358</v>
      </c>
      <c r="DF367" t="s">
        <v>735</v>
      </c>
      <c r="DG367">
        <v>23</v>
      </c>
      <c r="DH367">
        <v>0</v>
      </c>
      <c r="DI367">
        <v>30</v>
      </c>
      <c r="DJ367" s="26" t="s">
        <v>1358</v>
      </c>
      <c r="DK367" t="s">
        <v>736</v>
      </c>
      <c r="DL367">
        <v>12</v>
      </c>
      <c r="DM367">
        <v>0</v>
      </c>
      <c r="DN367">
        <v>30</v>
      </c>
      <c r="DO367" s="26" t="s">
        <v>1358</v>
      </c>
      <c r="DP367" t="s">
        <v>6</v>
      </c>
      <c r="DQ367" t="s">
        <v>813</v>
      </c>
      <c r="DR367">
        <v>7.7</v>
      </c>
      <c r="DS367">
        <v>0</v>
      </c>
      <c r="DT367">
        <v>30</v>
      </c>
      <c r="DU367" s="26" t="s">
        <v>1358</v>
      </c>
      <c r="EA367" t="s">
        <v>982</v>
      </c>
      <c r="EB367">
        <v>4.6000000000000005</v>
      </c>
      <c r="EC367">
        <v>0</v>
      </c>
      <c r="ED367">
        <v>30</v>
      </c>
      <c r="EE367" s="26" t="s">
        <v>1358</v>
      </c>
      <c r="EF367" s="26"/>
      <c r="FZ367" t="s">
        <v>806</v>
      </c>
      <c r="GA367">
        <v>297</v>
      </c>
      <c r="GE367" s="26" t="s">
        <v>1358</v>
      </c>
      <c r="HA367" s="5" t="s">
        <v>1069</v>
      </c>
      <c r="HB367" s="4">
        <v>6.4</v>
      </c>
      <c r="HC367">
        <v>0</v>
      </c>
      <c r="HD367">
        <v>30</v>
      </c>
      <c r="HE367" s="26" t="s">
        <v>1358</v>
      </c>
      <c r="HF367" s="5" t="s">
        <v>1063</v>
      </c>
      <c r="HG367" s="4">
        <v>0.9</v>
      </c>
      <c r="HH367">
        <v>0</v>
      </c>
      <c r="HI367">
        <v>30</v>
      </c>
      <c r="HJ367" s="26" t="s">
        <v>1358</v>
      </c>
      <c r="HK367" t="s">
        <v>1</v>
      </c>
      <c r="HL367" t="s">
        <v>1</v>
      </c>
      <c r="HM367" t="s">
        <v>1</v>
      </c>
      <c r="HN367" t="s">
        <v>1</v>
      </c>
      <c r="HO367" t="s">
        <v>1</v>
      </c>
      <c r="HP367" t="s">
        <v>1</v>
      </c>
      <c r="HZ367" t="s">
        <v>1</v>
      </c>
      <c r="IA367" t="s">
        <v>1</v>
      </c>
      <c r="IB367" s="10" t="s">
        <v>1</v>
      </c>
      <c r="IC367" s="10"/>
      <c r="ID367" s="10"/>
      <c r="IE367" s="10" t="s">
        <v>1</v>
      </c>
      <c r="IF367" s="10" t="s">
        <v>1</v>
      </c>
      <c r="IG367" s="10"/>
      <c r="IH367" s="10"/>
      <c r="II367" s="10"/>
      <c r="IJ367" s="10"/>
      <c r="IK367" s="10"/>
      <c r="IL367" s="10"/>
      <c r="IM367" s="10"/>
      <c r="IN367" s="10"/>
      <c r="IO367" s="10"/>
      <c r="IP367" s="10"/>
      <c r="IQ367" s="10"/>
      <c r="IR367" s="10"/>
      <c r="IS367" t="s">
        <v>1</v>
      </c>
      <c r="IT367" t="s">
        <v>1</v>
      </c>
      <c r="IW367" t="s">
        <v>1</v>
      </c>
      <c r="IX367" t="s">
        <v>1</v>
      </c>
      <c r="IY367" t="s">
        <v>808</v>
      </c>
      <c r="IZ367">
        <v>5030</v>
      </c>
      <c r="JA367" t="s">
        <v>1</v>
      </c>
      <c r="JB367" s="3" t="s">
        <v>1</v>
      </c>
      <c r="JC367" t="s">
        <v>1</v>
      </c>
      <c r="JD367" s="4" t="s">
        <v>1</v>
      </c>
      <c r="JE367" t="s">
        <v>1</v>
      </c>
      <c r="JF367" t="s">
        <v>1</v>
      </c>
      <c r="JR367" t="s">
        <v>1066</v>
      </c>
      <c r="JS367">
        <v>55</v>
      </c>
      <c r="JU367" t="s">
        <v>1</v>
      </c>
      <c r="JW367" t="s">
        <v>1</v>
      </c>
      <c r="JX367">
        <v>0</v>
      </c>
      <c r="JY367">
        <v>60</v>
      </c>
      <c r="JZ367" t="s">
        <v>800</v>
      </c>
      <c r="KA367" t="s">
        <v>421</v>
      </c>
      <c r="KB367" t="s">
        <v>738</v>
      </c>
      <c r="KC367" t="s">
        <v>1</v>
      </c>
      <c r="KD367" t="s">
        <v>1</v>
      </c>
      <c r="KE367" s="1" t="s">
        <v>1</v>
      </c>
      <c r="KF367" t="s">
        <v>1</v>
      </c>
      <c r="KG367" t="s">
        <v>1</v>
      </c>
      <c r="KH367" t="s">
        <v>1</v>
      </c>
      <c r="KI367" t="s">
        <v>1</v>
      </c>
      <c r="KJ367" t="s">
        <v>1</v>
      </c>
      <c r="KK367" t="s">
        <v>1</v>
      </c>
    </row>
    <row r="368" spans="1:297" x14ac:dyDescent="0.2">
      <c r="A368">
        <v>336</v>
      </c>
      <c r="B368" t="s">
        <v>705</v>
      </c>
      <c r="C368" t="s">
        <v>422</v>
      </c>
      <c r="D368" t="s">
        <v>418</v>
      </c>
      <c r="E368">
        <v>62</v>
      </c>
      <c r="F368" t="s">
        <v>419</v>
      </c>
      <c r="G368" t="s">
        <v>1</v>
      </c>
      <c r="H368" s="26" t="s">
        <v>1420</v>
      </c>
      <c r="I368" t="s">
        <v>1</v>
      </c>
      <c r="J368" t="s">
        <v>1</v>
      </c>
      <c r="K368" t="s">
        <v>1</v>
      </c>
      <c r="L368" t="s">
        <v>1</v>
      </c>
      <c r="M368" t="s">
        <v>1</v>
      </c>
      <c r="N368" t="s">
        <v>1</v>
      </c>
      <c r="O368" t="s">
        <v>1</v>
      </c>
      <c r="P368" t="s">
        <v>1</v>
      </c>
      <c r="Q368" t="s">
        <v>1</v>
      </c>
      <c r="R368" t="s">
        <v>1</v>
      </c>
      <c r="S368" t="s">
        <v>1</v>
      </c>
      <c r="T368" t="s">
        <v>1</v>
      </c>
      <c r="U368" t="s">
        <v>1</v>
      </c>
      <c r="V368" t="s">
        <v>1</v>
      </c>
      <c r="W368" t="s">
        <v>1</v>
      </c>
      <c r="X368" t="s">
        <v>1</v>
      </c>
      <c r="Y368" t="s">
        <v>1</v>
      </c>
      <c r="Z368" t="s">
        <v>1</v>
      </c>
      <c r="AA368" t="s">
        <v>1</v>
      </c>
      <c r="AB368" t="s">
        <v>1</v>
      </c>
      <c r="AC368" t="s">
        <v>1</v>
      </c>
      <c r="AD368" t="s">
        <v>1</v>
      </c>
      <c r="AE368" t="s">
        <v>1</v>
      </c>
      <c r="AF368" t="s">
        <v>1</v>
      </c>
      <c r="AG368" t="s">
        <v>1</v>
      </c>
      <c r="AH368" t="s">
        <v>1</v>
      </c>
      <c r="AI368" t="s">
        <v>1</v>
      </c>
      <c r="AJ368" t="s">
        <v>1</v>
      </c>
      <c r="AK368" t="s">
        <v>1</v>
      </c>
      <c r="AL368" t="s">
        <v>1</v>
      </c>
      <c r="AM368" t="s">
        <v>1</v>
      </c>
      <c r="AN368">
        <v>336</v>
      </c>
      <c r="AO368">
        <f t="shared" si="45"/>
        <v>336</v>
      </c>
      <c r="AP368">
        <f t="shared" si="47"/>
        <v>62</v>
      </c>
      <c r="AQ368">
        <f t="shared" si="48"/>
        <v>62</v>
      </c>
      <c r="AR368" s="26" t="s">
        <v>1355</v>
      </c>
      <c r="AS368" s="26" t="s">
        <v>1356</v>
      </c>
      <c r="AT368" t="s">
        <v>723</v>
      </c>
      <c r="AU368" t="s">
        <v>1</v>
      </c>
      <c r="AV368" t="s">
        <v>1</v>
      </c>
      <c r="AW368">
        <v>35.68</v>
      </c>
      <c r="AX368">
        <v>51.32</v>
      </c>
      <c r="AY368" t="s">
        <v>737</v>
      </c>
      <c r="BA368" s="3">
        <v>3</v>
      </c>
      <c r="BB368" s="3"/>
      <c r="BC368" s="3"/>
      <c r="BD368" s="3"/>
      <c r="BE368" s="3"/>
      <c r="BF368">
        <v>2007</v>
      </c>
      <c r="BG368" s="24" t="s">
        <v>733</v>
      </c>
      <c r="BH368" s="24" t="s">
        <v>733</v>
      </c>
      <c r="BI368" s="24" t="s">
        <v>733</v>
      </c>
      <c r="BJ368" s="24" t="s">
        <v>732</v>
      </c>
      <c r="BK368" s="24" t="s">
        <v>733</v>
      </c>
      <c r="BL368" s="25" t="s">
        <v>733</v>
      </c>
      <c r="BM368" s="24" t="s">
        <v>733</v>
      </c>
      <c r="BN368" s="24" t="s">
        <v>732</v>
      </c>
      <c r="BO368" s="24" t="s">
        <v>733</v>
      </c>
      <c r="BP368" s="24" t="s">
        <v>733</v>
      </c>
      <c r="BQ368" s="24" t="s">
        <v>945</v>
      </c>
      <c r="BR368" s="24" t="s">
        <v>945</v>
      </c>
      <c r="BS368" s="25" t="s">
        <v>934</v>
      </c>
      <c r="BT368" s="24" t="s">
        <v>934</v>
      </c>
      <c r="BU368" s="24" t="s">
        <v>934</v>
      </c>
      <c r="BV368" s="24" t="s">
        <v>934</v>
      </c>
      <c r="BW368" s="24" t="s">
        <v>934</v>
      </c>
      <c r="BX368" s="24" t="s">
        <v>934</v>
      </c>
      <c r="BY368" s="25" t="s">
        <v>945</v>
      </c>
      <c r="BZ368" t="s">
        <v>1393</v>
      </c>
      <c r="CB368" t="s">
        <v>1</v>
      </c>
      <c r="CC368" s="15">
        <v>1569.31</v>
      </c>
      <c r="CD368" s="15"/>
      <c r="CE368" s="15"/>
      <c r="CF368" t="s">
        <v>793</v>
      </c>
      <c r="CG368">
        <v>100</v>
      </c>
      <c r="CH368" t="s">
        <v>805</v>
      </c>
      <c r="CI368" s="1">
        <v>1</v>
      </c>
      <c r="CJ368" s="10" t="s">
        <v>1442</v>
      </c>
      <c r="CK368" t="s">
        <v>807</v>
      </c>
      <c r="CL368" s="4">
        <f>6575.62-1569.31</f>
        <v>5006.3099999999995</v>
      </c>
      <c r="CM368" t="s">
        <v>847</v>
      </c>
      <c r="CN368" s="4">
        <f>0.761*90</f>
        <v>68.489999999999995</v>
      </c>
      <c r="CO368" s="4" t="s">
        <v>1</v>
      </c>
      <c r="CP368" s="4" t="s">
        <v>1</v>
      </c>
      <c r="CQ368" s="4" t="s">
        <v>1</v>
      </c>
      <c r="CR368" s="4" t="s">
        <v>1</v>
      </c>
      <c r="CS368" s="4" t="s">
        <v>1</v>
      </c>
      <c r="CT368" s="4" t="s">
        <v>1</v>
      </c>
      <c r="CU368" s="4" t="s">
        <v>1</v>
      </c>
      <c r="CV368" t="s">
        <v>855</v>
      </c>
      <c r="CW368">
        <v>100</v>
      </c>
      <c r="CX368">
        <v>0</v>
      </c>
      <c r="CY368">
        <v>30</v>
      </c>
      <c r="CZ368" s="26" t="s">
        <v>1358</v>
      </c>
      <c r="DA368" t="s">
        <v>734</v>
      </c>
      <c r="DB368">
        <v>65</v>
      </c>
      <c r="DC368">
        <v>0</v>
      </c>
      <c r="DD368">
        <v>30</v>
      </c>
      <c r="DE368" s="26" t="s">
        <v>1358</v>
      </c>
      <c r="DF368" t="s">
        <v>735</v>
      </c>
      <c r="DG368">
        <v>23</v>
      </c>
      <c r="DH368">
        <v>0</v>
      </c>
      <c r="DI368">
        <v>30</v>
      </c>
      <c r="DJ368" s="26" t="s">
        <v>1358</v>
      </c>
      <c r="DK368" t="s">
        <v>736</v>
      </c>
      <c r="DL368">
        <v>12</v>
      </c>
      <c r="DM368">
        <v>0</v>
      </c>
      <c r="DN368">
        <v>30</v>
      </c>
      <c r="DO368" s="26" t="s">
        <v>1358</v>
      </c>
      <c r="DP368" t="s">
        <v>6</v>
      </c>
      <c r="DQ368" t="s">
        <v>813</v>
      </c>
      <c r="DR368">
        <v>7.7</v>
      </c>
      <c r="DS368">
        <v>0</v>
      </c>
      <c r="DT368">
        <v>30</v>
      </c>
      <c r="DU368" s="26" t="s">
        <v>1358</v>
      </c>
      <c r="EA368" t="s">
        <v>982</v>
      </c>
      <c r="EB368">
        <v>4.6000000000000005</v>
      </c>
      <c r="EC368">
        <v>0</v>
      </c>
      <c r="ED368">
        <v>30</v>
      </c>
      <c r="EE368" s="26" t="s">
        <v>1358</v>
      </c>
      <c r="EF368" s="26"/>
      <c r="FZ368" t="s">
        <v>806</v>
      </c>
      <c r="GA368">
        <v>297</v>
      </c>
      <c r="GE368" s="26" t="s">
        <v>1358</v>
      </c>
      <c r="HA368" s="5" t="s">
        <v>1069</v>
      </c>
      <c r="HB368" s="4">
        <v>6.4</v>
      </c>
      <c r="HC368">
        <v>0</v>
      </c>
      <c r="HD368">
        <v>30</v>
      </c>
      <c r="HE368" s="26" t="s">
        <v>1358</v>
      </c>
      <c r="HF368" s="5" t="s">
        <v>1063</v>
      </c>
      <c r="HG368" s="4">
        <v>0.9</v>
      </c>
      <c r="HH368">
        <v>0</v>
      </c>
      <c r="HI368">
        <v>30</v>
      </c>
      <c r="HJ368" s="26" t="s">
        <v>1358</v>
      </c>
      <c r="HK368" t="s">
        <v>1</v>
      </c>
      <c r="HL368" t="s">
        <v>1</v>
      </c>
      <c r="HM368" t="s">
        <v>1</v>
      </c>
      <c r="HN368" t="s">
        <v>1</v>
      </c>
      <c r="HO368" t="s">
        <v>1</v>
      </c>
      <c r="HP368" t="s">
        <v>1</v>
      </c>
      <c r="HZ368" t="s">
        <v>969</v>
      </c>
      <c r="IA368">
        <v>90</v>
      </c>
      <c r="IB368" s="10" t="s">
        <v>1</v>
      </c>
      <c r="IC368" s="10"/>
      <c r="ID368" s="10"/>
      <c r="IE368" s="10" t="s">
        <v>1</v>
      </c>
      <c r="IF368" s="10" t="s">
        <v>1</v>
      </c>
      <c r="IG368" s="10"/>
      <c r="IH368" s="10"/>
      <c r="II368" s="10"/>
      <c r="IJ368" s="10"/>
      <c r="IK368" s="10"/>
      <c r="IL368" s="10"/>
      <c r="IM368" s="10"/>
      <c r="IN368" s="10"/>
      <c r="IO368" s="10"/>
      <c r="IP368" s="10"/>
      <c r="IQ368" s="10"/>
      <c r="IR368" s="10"/>
      <c r="IS368" t="s">
        <v>1</v>
      </c>
      <c r="IT368" t="s">
        <v>1</v>
      </c>
      <c r="IW368" t="s">
        <v>1</v>
      </c>
      <c r="IX368" t="s">
        <v>1</v>
      </c>
      <c r="IY368" t="s">
        <v>808</v>
      </c>
      <c r="IZ368">
        <v>5030</v>
      </c>
      <c r="JA368" t="s">
        <v>1</v>
      </c>
      <c r="JB368" s="3" t="s">
        <v>1</v>
      </c>
      <c r="JC368" t="s">
        <v>1</v>
      </c>
      <c r="JD368" s="4" t="s">
        <v>1</v>
      </c>
      <c r="JE368" t="s">
        <v>1</v>
      </c>
      <c r="JF368" t="s">
        <v>1</v>
      </c>
      <c r="JR368" t="s">
        <v>1066</v>
      </c>
      <c r="JS368">
        <v>119</v>
      </c>
      <c r="JU368" t="s">
        <v>1</v>
      </c>
      <c r="JW368" t="s">
        <v>1</v>
      </c>
      <c r="JX368">
        <v>0</v>
      </c>
      <c r="JY368">
        <v>60</v>
      </c>
      <c r="JZ368" t="s">
        <v>800</v>
      </c>
      <c r="KA368" t="s">
        <v>421</v>
      </c>
      <c r="KB368" t="s">
        <v>738</v>
      </c>
      <c r="KC368" t="s">
        <v>1</v>
      </c>
      <c r="KD368" t="s">
        <v>1</v>
      </c>
      <c r="KE368" s="1" t="s">
        <v>1</v>
      </c>
      <c r="KF368" t="s">
        <v>1</v>
      </c>
      <c r="KG368" t="s">
        <v>1</v>
      </c>
      <c r="KH368" t="s">
        <v>1</v>
      </c>
      <c r="KI368" t="s">
        <v>1</v>
      </c>
      <c r="KJ368" t="s">
        <v>1</v>
      </c>
      <c r="KK368" t="s">
        <v>1</v>
      </c>
    </row>
    <row r="369" spans="1:297" x14ac:dyDescent="0.2">
      <c r="A369">
        <v>337</v>
      </c>
      <c r="B369" t="s">
        <v>705</v>
      </c>
      <c r="C369" t="s">
        <v>423</v>
      </c>
      <c r="D369" t="s">
        <v>418</v>
      </c>
      <c r="E369">
        <v>62</v>
      </c>
      <c r="F369" t="s">
        <v>419</v>
      </c>
      <c r="G369" t="s">
        <v>1</v>
      </c>
      <c r="H369" s="26" t="s">
        <v>1420</v>
      </c>
      <c r="I369" t="s">
        <v>1</v>
      </c>
      <c r="J369" t="s">
        <v>1</v>
      </c>
      <c r="K369" t="s">
        <v>1</v>
      </c>
      <c r="L369" t="s">
        <v>1</v>
      </c>
      <c r="M369" t="s">
        <v>1</v>
      </c>
      <c r="N369" t="s">
        <v>1</v>
      </c>
      <c r="O369" t="s">
        <v>1</v>
      </c>
      <c r="P369" t="s">
        <v>1</v>
      </c>
      <c r="Q369" t="s">
        <v>1</v>
      </c>
      <c r="R369" t="s">
        <v>1</v>
      </c>
      <c r="S369" t="s">
        <v>1</v>
      </c>
      <c r="T369" t="s">
        <v>1</v>
      </c>
      <c r="U369" t="s">
        <v>1</v>
      </c>
      <c r="V369" t="s">
        <v>1</v>
      </c>
      <c r="W369" t="s">
        <v>1</v>
      </c>
      <c r="X369" t="s">
        <v>1</v>
      </c>
      <c r="Y369" t="s">
        <v>1</v>
      </c>
      <c r="Z369" t="s">
        <v>1</v>
      </c>
      <c r="AA369" t="s">
        <v>1</v>
      </c>
      <c r="AB369" t="s">
        <v>1</v>
      </c>
      <c r="AC369" t="s">
        <v>1</v>
      </c>
      <c r="AD369" t="s">
        <v>1</v>
      </c>
      <c r="AE369" t="s">
        <v>1</v>
      </c>
      <c r="AF369" t="s">
        <v>1</v>
      </c>
      <c r="AG369" t="s">
        <v>1</v>
      </c>
      <c r="AH369" t="s">
        <v>1</v>
      </c>
      <c r="AI369" t="s">
        <v>1</v>
      </c>
      <c r="AJ369" t="s">
        <v>1</v>
      </c>
      <c r="AK369" t="s">
        <v>1</v>
      </c>
      <c r="AL369" t="s">
        <v>1</v>
      </c>
      <c r="AM369" t="s">
        <v>1</v>
      </c>
      <c r="AN369">
        <v>337</v>
      </c>
      <c r="AO369">
        <f t="shared" si="45"/>
        <v>337</v>
      </c>
      <c r="AP369">
        <f t="shared" si="47"/>
        <v>62</v>
      </c>
      <c r="AQ369">
        <f t="shared" si="48"/>
        <v>62</v>
      </c>
      <c r="AR369" s="26" t="s">
        <v>1355</v>
      </c>
      <c r="AS369" s="26" t="s">
        <v>1356</v>
      </c>
      <c r="AT369" t="s">
        <v>723</v>
      </c>
      <c r="AU369" t="s">
        <v>1</v>
      </c>
      <c r="AV369" t="s">
        <v>1</v>
      </c>
      <c r="AW369">
        <v>35.68</v>
      </c>
      <c r="AX369">
        <v>51.32</v>
      </c>
      <c r="AY369" t="s">
        <v>737</v>
      </c>
      <c r="BA369" s="3">
        <v>3</v>
      </c>
      <c r="BB369" s="3"/>
      <c r="BC369" s="3"/>
      <c r="BD369" s="3"/>
      <c r="BE369" s="3"/>
      <c r="BF369">
        <v>2007</v>
      </c>
      <c r="BG369" s="24" t="s">
        <v>733</v>
      </c>
      <c r="BH369" s="24" t="s">
        <v>733</v>
      </c>
      <c r="BI369" s="24" t="s">
        <v>733</v>
      </c>
      <c r="BJ369" s="24" t="s">
        <v>732</v>
      </c>
      <c r="BK369" s="24" t="s">
        <v>733</v>
      </c>
      <c r="BL369" s="25" t="s">
        <v>733</v>
      </c>
      <c r="BM369" s="24" t="s">
        <v>733</v>
      </c>
      <c r="BN369" s="24" t="s">
        <v>732</v>
      </c>
      <c r="BO369" s="24" t="s">
        <v>733</v>
      </c>
      <c r="BP369" s="24" t="s">
        <v>733</v>
      </c>
      <c r="BQ369" s="24" t="s">
        <v>945</v>
      </c>
      <c r="BR369" s="24" t="s">
        <v>945</v>
      </c>
      <c r="BS369" s="25" t="s">
        <v>934</v>
      </c>
      <c r="BT369" s="24" t="s">
        <v>934</v>
      </c>
      <c r="BU369" s="24" t="s">
        <v>934</v>
      </c>
      <c r="BV369" s="24" t="s">
        <v>934</v>
      </c>
      <c r="BW369" s="24" t="s">
        <v>934</v>
      </c>
      <c r="BX369" s="24" t="s">
        <v>934</v>
      </c>
      <c r="BY369" s="25" t="s">
        <v>945</v>
      </c>
      <c r="BZ369" t="s">
        <v>1393</v>
      </c>
      <c r="CB369" t="s">
        <v>1</v>
      </c>
      <c r="CC369" s="15">
        <v>1811.53</v>
      </c>
      <c r="CD369" s="15"/>
      <c r="CE369" s="15"/>
      <c r="CF369" t="s">
        <v>793</v>
      </c>
      <c r="CG369">
        <v>100</v>
      </c>
      <c r="CH369" t="s">
        <v>805</v>
      </c>
      <c r="CI369" s="1">
        <v>1</v>
      </c>
      <c r="CJ369" s="10" t="s">
        <v>1442</v>
      </c>
      <c r="CK369" t="s">
        <v>807</v>
      </c>
      <c r="CL369" s="4">
        <f>7162.8-1811.53</f>
        <v>5351.27</v>
      </c>
      <c r="CM369" t="s">
        <v>847</v>
      </c>
      <c r="CN369" s="4">
        <f>0.47*180</f>
        <v>84.6</v>
      </c>
      <c r="CO369" s="4" t="s">
        <v>1</v>
      </c>
      <c r="CP369" s="4" t="s">
        <v>1</v>
      </c>
      <c r="CQ369" s="4" t="s">
        <v>1</v>
      </c>
      <c r="CR369" s="4" t="s">
        <v>1</v>
      </c>
      <c r="CS369" s="4" t="s">
        <v>1</v>
      </c>
      <c r="CT369" s="4" t="s">
        <v>1</v>
      </c>
      <c r="CU369" s="4" t="s">
        <v>1</v>
      </c>
      <c r="CV369" t="s">
        <v>855</v>
      </c>
      <c r="CW369">
        <v>100</v>
      </c>
      <c r="CX369">
        <v>0</v>
      </c>
      <c r="CY369">
        <v>30</v>
      </c>
      <c r="CZ369" s="26" t="s">
        <v>1358</v>
      </c>
      <c r="DA369" t="s">
        <v>734</v>
      </c>
      <c r="DB369">
        <v>65</v>
      </c>
      <c r="DC369">
        <v>0</v>
      </c>
      <c r="DD369">
        <v>30</v>
      </c>
      <c r="DE369" s="26" t="s">
        <v>1358</v>
      </c>
      <c r="DF369" t="s">
        <v>735</v>
      </c>
      <c r="DG369">
        <v>23</v>
      </c>
      <c r="DH369">
        <v>0</v>
      </c>
      <c r="DI369">
        <v>30</v>
      </c>
      <c r="DJ369" s="26" t="s">
        <v>1358</v>
      </c>
      <c r="DK369" t="s">
        <v>736</v>
      </c>
      <c r="DL369">
        <v>12</v>
      </c>
      <c r="DM369">
        <v>0</v>
      </c>
      <c r="DN369">
        <v>30</v>
      </c>
      <c r="DO369" s="26" t="s">
        <v>1358</v>
      </c>
      <c r="DP369" t="s">
        <v>6</v>
      </c>
      <c r="DQ369" t="s">
        <v>813</v>
      </c>
      <c r="DR369">
        <v>7.7</v>
      </c>
      <c r="DS369">
        <v>0</v>
      </c>
      <c r="DT369">
        <v>30</v>
      </c>
      <c r="DU369" s="26" t="s">
        <v>1358</v>
      </c>
      <c r="EA369" t="s">
        <v>982</v>
      </c>
      <c r="EB369">
        <v>4.6000000000000005</v>
      </c>
      <c r="EC369">
        <v>0</v>
      </c>
      <c r="ED369">
        <v>30</v>
      </c>
      <c r="EE369" s="26" t="s">
        <v>1358</v>
      </c>
      <c r="EF369" s="26"/>
      <c r="FZ369" t="s">
        <v>806</v>
      </c>
      <c r="GA369">
        <v>297</v>
      </c>
      <c r="GE369" s="26" t="s">
        <v>1358</v>
      </c>
      <c r="HA369" s="5" t="s">
        <v>1069</v>
      </c>
      <c r="HB369" s="4">
        <v>6.4</v>
      </c>
      <c r="HC369">
        <v>0</v>
      </c>
      <c r="HD369">
        <v>30</v>
      </c>
      <c r="HE369" s="26" t="s">
        <v>1358</v>
      </c>
      <c r="HF369" s="5" t="s">
        <v>1063</v>
      </c>
      <c r="HG369" s="4">
        <v>0.9</v>
      </c>
      <c r="HH369">
        <v>0</v>
      </c>
      <c r="HI369">
        <v>30</v>
      </c>
      <c r="HJ369" s="26" t="s">
        <v>1358</v>
      </c>
      <c r="HK369" t="s">
        <v>1</v>
      </c>
      <c r="HL369" t="s">
        <v>1</v>
      </c>
      <c r="HM369" t="s">
        <v>1</v>
      </c>
      <c r="HN369" t="s">
        <v>1</v>
      </c>
      <c r="HO369" t="s">
        <v>1</v>
      </c>
      <c r="HP369" t="s">
        <v>1</v>
      </c>
      <c r="HZ369" t="s">
        <v>969</v>
      </c>
      <c r="IA369">
        <v>180</v>
      </c>
      <c r="IB369" s="10" t="s">
        <v>1</v>
      </c>
      <c r="IC369" s="10"/>
      <c r="ID369" s="10"/>
      <c r="IE369" s="10" t="s">
        <v>1</v>
      </c>
      <c r="IF369" s="10" t="s">
        <v>1</v>
      </c>
      <c r="IG369" s="10"/>
      <c r="IH369" s="10"/>
      <c r="II369" s="10"/>
      <c r="IJ369" s="10"/>
      <c r="IK369" s="10"/>
      <c r="IL369" s="10"/>
      <c r="IM369" s="10"/>
      <c r="IN369" s="10"/>
      <c r="IO369" s="10"/>
      <c r="IP369" s="10"/>
      <c r="IQ369" s="10"/>
      <c r="IR369" s="10"/>
      <c r="IS369" t="s">
        <v>1</v>
      </c>
      <c r="IT369" t="s">
        <v>1</v>
      </c>
      <c r="IW369" t="s">
        <v>1</v>
      </c>
      <c r="IX369" t="s">
        <v>1</v>
      </c>
      <c r="IY369" t="s">
        <v>808</v>
      </c>
      <c r="IZ369">
        <v>5030</v>
      </c>
      <c r="JA369" t="s">
        <v>1</v>
      </c>
      <c r="JB369" s="3" t="s">
        <v>1</v>
      </c>
      <c r="JC369" t="s">
        <v>1</v>
      </c>
      <c r="JD369" s="4" t="s">
        <v>1</v>
      </c>
      <c r="JE369" t="s">
        <v>1</v>
      </c>
      <c r="JF369" t="s">
        <v>1</v>
      </c>
      <c r="JR369" t="s">
        <v>1066</v>
      </c>
      <c r="JS369">
        <v>283</v>
      </c>
      <c r="JU369" t="s">
        <v>1</v>
      </c>
      <c r="JW369" t="s">
        <v>1</v>
      </c>
      <c r="JX369">
        <v>0</v>
      </c>
      <c r="JY369">
        <v>60</v>
      </c>
      <c r="JZ369" t="s">
        <v>800</v>
      </c>
      <c r="KA369" t="s">
        <v>421</v>
      </c>
      <c r="KB369" t="s">
        <v>738</v>
      </c>
      <c r="KC369" t="s">
        <v>1</v>
      </c>
      <c r="KD369" t="s">
        <v>1</v>
      </c>
      <c r="KE369" s="1" t="s">
        <v>1</v>
      </c>
      <c r="KF369" t="s">
        <v>1</v>
      </c>
      <c r="KG369" t="s">
        <v>1</v>
      </c>
      <c r="KH369" t="s">
        <v>1</v>
      </c>
      <c r="KI369" t="s">
        <v>1</v>
      </c>
      <c r="KJ369" t="s">
        <v>1</v>
      </c>
      <c r="KK369" t="s">
        <v>1</v>
      </c>
    </row>
    <row r="370" spans="1:297" x14ac:dyDescent="0.2">
      <c r="A370">
        <v>338</v>
      </c>
      <c r="B370" t="s">
        <v>705</v>
      </c>
      <c r="C370" t="s">
        <v>424</v>
      </c>
      <c r="D370" t="s">
        <v>418</v>
      </c>
      <c r="E370">
        <v>62</v>
      </c>
      <c r="F370" t="s">
        <v>419</v>
      </c>
      <c r="G370" t="s">
        <v>1</v>
      </c>
      <c r="H370" s="26" t="s">
        <v>1420</v>
      </c>
      <c r="I370" t="s">
        <v>1</v>
      </c>
      <c r="J370" t="s">
        <v>1</v>
      </c>
      <c r="K370" t="s">
        <v>1</v>
      </c>
      <c r="L370" t="s">
        <v>1</v>
      </c>
      <c r="M370" t="s">
        <v>1</v>
      </c>
      <c r="N370" t="s">
        <v>1</v>
      </c>
      <c r="O370" t="s">
        <v>1</v>
      </c>
      <c r="P370" t="s">
        <v>1</v>
      </c>
      <c r="Q370" t="s">
        <v>1</v>
      </c>
      <c r="R370" t="s">
        <v>1</v>
      </c>
      <c r="S370" t="s">
        <v>1</v>
      </c>
      <c r="T370" t="s">
        <v>1</v>
      </c>
      <c r="U370" t="s">
        <v>1</v>
      </c>
      <c r="V370" t="s">
        <v>1</v>
      </c>
      <c r="W370" t="s">
        <v>1</v>
      </c>
      <c r="X370" t="s">
        <v>1</v>
      </c>
      <c r="Y370" t="s">
        <v>1</v>
      </c>
      <c r="Z370" t="s">
        <v>1</v>
      </c>
      <c r="AA370" t="s">
        <v>1</v>
      </c>
      <c r="AB370" t="s">
        <v>1</v>
      </c>
      <c r="AC370" t="s">
        <v>1</v>
      </c>
      <c r="AD370" t="s">
        <v>1</v>
      </c>
      <c r="AE370" t="s">
        <v>1</v>
      </c>
      <c r="AF370" t="s">
        <v>1</v>
      </c>
      <c r="AG370" t="s">
        <v>1</v>
      </c>
      <c r="AH370" t="s">
        <v>1</v>
      </c>
      <c r="AI370" t="s">
        <v>1</v>
      </c>
      <c r="AJ370" t="s">
        <v>1</v>
      </c>
      <c r="AK370" t="s">
        <v>1</v>
      </c>
      <c r="AL370" t="s">
        <v>1</v>
      </c>
      <c r="AM370" t="s">
        <v>1</v>
      </c>
      <c r="AN370">
        <v>338</v>
      </c>
      <c r="AO370">
        <f t="shared" si="45"/>
        <v>338</v>
      </c>
      <c r="AP370">
        <f t="shared" si="47"/>
        <v>62</v>
      </c>
      <c r="AQ370">
        <f t="shared" si="48"/>
        <v>62</v>
      </c>
      <c r="AR370" s="26" t="s">
        <v>1355</v>
      </c>
      <c r="AS370" s="26" t="s">
        <v>1356</v>
      </c>
      <c r="AT370" t="s">
        <v>723</v>
      </c>
      <c r="AU370" t="s">
        <v>1</v>
      </c>
      <c r="AV370" t="s">
        <v>1</v>
      </c>
      <c r="AW370">
        <v>35.68</v>
      </c>
      <c r="AX370">
        <v>51.32</v>
      </c>
      <c r="AY370" t="s">
        <v>737</v>
      </c>
      <c r="BA370" s="3">
        <v>3</v>
      </c>
      <c r="BB370" s="3"/>
      <c r="BC370" s="3"/>
      <c r="BD370" s="3"/>
      <c r="BE370" s="3"/>
      <c r="BF370">
        <v>2007</v>
      </c>
      <c r="BG370" s="24" t="s">
        <v>733</v>
      </c>
      <c r="BH370" s="24" t="s">
        <v>733</v>
      </c>
      <c r="BI370" s="24" t="s">
        <v>733</v>
      </c>
      <c r="BJ370" s="24" t="s">
        <v>732</v>
      </c>
      <c r="BK370" s="24" t="s">
        <v>733</v>
      </c>
      <c r="BL370" s="25" t="s">
        <v>733</v>
      </c>
      <c r="BM370" s="24" t="s">
        <v>733</v>
      </c>
      <c r="BN370" s="24" t="s">
        <v>732</v>
      </c>
      <c r="BO370" s="24" t="s">
        <v>733</v>
      </c>
      <c r="BP370" s="24" t="s">
        <v>733</v>
      </c>
      <c r="BQ370" s="24" t="s">
        <v>945</v>
      </c>
      <c r="BR370" s="24" t="s">
        <v>945</v>
      </c>
      <c r="BS370" s="25" t="s">
        <v>934</v>
      </c>
      <c r="BT370" s="24" t="s">
        <v>934</v>
      </c>
      <c r="BU370" s="24" t="s">
        <v>934</v>
      </c>
      <c r="BV370" s="24" t="s">
        <v>934</v>
      </c>
      <c r="BW370" s="24" t="s">
        <v>934</v>
      </c>
      <c r="BX370" s="24" t="s">
        <v>934</v>
      </c>
      <c r="BY370" s="25" t="s">
        <v>945</v>
      </c>
      <c r="BZ370" t="s">
        <v>1393</v>
      </c>
      <c r="CB370" t="s">
        <v>1</v>
      </c>
      <c r="CC370" s="15">
        <v>1896.25</v>
      </c>
      <c r="CD370" s="15"/>
      <c r="CE370" s="15"/>
      <c r="CF370" t="s">
        <v>793</v>
      </c>
      <c r="CG370">
        <v>100</v>
      </c>
      <c r="CH370" t="s">
        <v>805</v>
      </c>
      <c r="CI370" s="1">
        <v>1</v>
      </c>
      <c r="CJ370" s="10" t="s">
        <v>1442</v>
      </c>
      <c r="CK370" t="s">
        <v>807</v>
      </c>
      <c r="CL370" s="4">
        <f>7550.51-1896.25</f>
        <v>5654.26</v>
      </c>
      <c r="CM370" t="s">
        <v>847</v>
      </c>
      <c r="CN370" s="4">
        <f>0.353*270</f>
        <v>95.309999999999988</v>
      </c>
      <c r="CO370" s="4" t="s">
        <v>1</v>
      </c>
      <c r="CP370" s="4" t="s">
        <v>1</v>
      </c>
      <c r="CQ370" s="4" t="s">
        <v>1</v>
      </c>
      <c r="CR370" s="4" t="s">
        <v>1</v>
      </c>
      <c r="CS370" s="4" t="s">
        <v>1</v>
      </c>
      <c r="CT370" s="4" t="s">
        <v>1</v>
      </c>
      <c r="CU370" s="4" t="s">
        <v>1</v>
      </c>
      <c r="CV370" t="s">
        <v>855</v>
      </c>
      <c r="CW370">
        <v>100</v>
      </c>
      <c r="CX370">
        <v>0</v>
      </c>
      <c r="CY370">
        <v>30</v>
      </c>
      <c r="CZ370" s="26" t="s">
        <v>1358</v>
      </c>
      <c r="DA370" t="s">
        <v>734</v>
      </c>
      <c r="DB370">
        <v>65</v>
      </c>
      <c r="DC370">
        <v>0</v>
      </c>
      <c r="DD370">
        <v>30</v>
      </c>
      <c r="DE370" s="26" t="s">
        <v>1358</v>
      </c>
      <c r="DF370" t="s">
        <v>735</v>
      </c>
      <c r="DG370">
        <v>23</v>
      </c>
      <c r="DH370">
        <v>0</v>
      </c>
      <c r="DI370">
        <v>30</v>
      </c>
      <c r="DJ370" s="26" t="s">
        <v>1358</v>
      </c>
      <c r="DK370" t="s">
        <v>736</v>
      </c>
      <c r="DL370">
        <v>12</v>
      </c>
      <c r="DM370">
        <v>0</v>
      </c>
      <c r="DN370">
        <v>30</v>
      </c>
      <c r="DO370" s="26" t="s">
        <v>1358</v>
      </c>
      <c r="DP370" t="s">
        <v>6</v>
      </c>
      <c r="DQ370" t="s">
        <v>813</v>
      </c>
      <c r="DR370">
        <v>7.7</v>
      </c>
      <c r="DS370">
        <v>0</v>
      </c>
      <c r="DT370">
        <v>30</v>
      </c>
      <c r="DU370" s="26" t="s">
        <v>1358</v>
      </c>
      <c r="EA370" t="s">
        <v>982</v>
      </c>
      <c r="EB370">
        <v>4.6000000000000005</v>
      </c>
      <c r="EC370">
        <v>0</v>
      </c>
      <c r="ED370">
        <v>30</v>
      </c>
      <c r="EE370" s="26" t="s">
        <v>1358</v>
      </c>
      <c r="EF370" s="26"/>
      <c r="FZ370" t="s">
        <v>806</v>
      </c>
      <c r="GA370">
        <v>297</v>
      </c>
      <c r="GE370" s="26" t="s">
        <v>1358</v>
      </c>
      <c r="HA370" s="5" t="s">
        <v>1069</v>
      </c>
      <c r="HB370" s="4">
        <v>6.4</v>
      </c>
      <c r="HC370">
        <v>0</v>
      </c>
      <c r="HD370">
        <v>30</v>
      </c>
      <c r="HE370" s="26" t="s">
        <v>1358</v>
      </c>
      <c r="HF370" s="5" t="s">
        <v>1063</v>
      </c>
      <c r="HG370" s="4">
        <v>0.9</v>
      </c>
      <c r="HH370">
        <v>0</v>
      </c>
      <c r="HI370">
        <v>30</v>
      </c>
      <c r="HJ370" s="26" t="s">
        <v>1358</v>
      </c>
      <c r="HK370" t="s">
        <v>1</v>
      </c>
      <c r="HL370" t="s">
        <v>1</v>
      </c>
      <c r="HM370" t="s">
        <v>1</v>
      </c>
      <c r="HN370" t="s">
        <v>1</v>
      </c>
      <c r="HO370" t="s">
        <v>1</v>
      </c>
      <c r="HP370" t="s">
        <v>1</v>
      </c>
      <c r="HZ370" t="s">
        <v>969</v>
      </c>
      <c r="IA370">
        <v>270</v>
      </c>
      <c r="IB370" s="10" t="s">
        <v>1</v>
      </c>
      <c r="IC370" s="10"/>
      <c r="ID370" s="10"/>
      <c r="IE370" s="10" t="s">
        <v>1</v>
      </c>
      <c r="IF370" s="10" t="s">
        <v>1</v>
      </c>
      <c r="IG370" s="10"/>
      <c r="IH370" s="10"/>
      <c r="II370" s="10"/>
      <c r="IJ370" s="10"/>
      <c r="IK370" s="10"/>
      <c r="IL370" s="10"/>
      <c r="IM370" s="10"/>
      <c r="IN370" s="10"/>
      <c r="IO370" s="10"/>
      <c r="IP370" s="10"/>
      <c r="IQ370" s="10"/>
      <c r="IR370" s="10"/>
      <c r="IS370" t="s">
        <v>1</v>
      </c>
      <c r="IT370" t="s">
        <v>1</v>
      </c>
      <c r="IW370" t="s">
        <v>1</v>
      </c>
      <c r="IX370" t="s">
        <v>1</v>
      </c>
      <c r="IY370" t="s">
        <v>808</v>
      </c>
      <c r="IZ370">
        <v>5030</v>
      </c>
      <c r="JA370" t="s">
        <v>1</v>
      </c>
      <c r="JB370" s="3" t="s">
        <v>1</v>
      </c>
      <c r="JC370" t="s">
        <v>1</v>
      </c>
      <c r="JD370" s="4" t="s">
        <v>1</v>
      </c>
      <c r="JE370" t="s">
        <v>1</v>
      </c>
      <c r="JF370" t="s">
        <v>1</v>
      </c>
      <c r="JR370" t="s">
        <v>1066</v>
      </c>
      <c r="JS370">
        <v>632</v>
      </c>
      <c r="JU370" t="s">
        <v>1</v>
      </c>
      <c r="JW370" t="s">
        <v>1</v>
      </c>
      <c r="JX370">
        <v>0</v>
      </c>
      <c r="JY370">
        <v>60</v>
      </c>
      <c r="JZ370" t="s">
        <v>800</v>
      </c>
      <c r="KA370" t="s">
        <v>421</v>
      </c>
      <c r="KB370" t="s">
        <v>738</v>
      </c>
      <c r="KC370" t="s">
        <v>1</v>
      </c>
      <c r="KD370" t="s">
        <v>1</v>
      </c>
      <c r="KE370" s="1" t="s">
        <v>1</v>
      </c>
      <c r="KF370" t="s">
        <v>1</v>
      </c>
      <c r="KG370" t="s">
        <v>1</v>
      </c>
      <c r="KH370" t="s">
        <v>1</v>
      </c>
      <c r="KI370" t="s">
        <v>1</v>
      </c>
      <c r="KJ370" t="s">
        <v>1</v>
      </c>
      <c r="KK370" t="s">
        <v>1</v>
      </c>
    </row>
    <row r="371" spans="1:297" x14ac:dyDescent="0.2">
      <c r="A371">
        <v>339</v>
      </c>
      <c r="B371" t="s">
        <v>705</v>
      </c>
      <c r="C371" t="s">
        <v>1338</v>
      </c>
      <c r="D371" t="s">
        <v>425</v>
      </c>
      <c r="E371">
        <v>63</v>
      </c>
      <c r="F371" t="s">
        <v>1339</v>
      </c>
      <c r="G371" t="s">
        <v>1</v>
      </c>
      <c r="H371" s="26" t="s">
        <v>1420</v>
      </c>
      <c r="I371" t="s">
        <v>1</v>
      </c>
      <c r="J371" t="s">
        <v>1</v>
      </c>
      <c r="K371" t="s">
        <v>1</v>
      </c>
      <c r="L371" t="s">
        <v>1</v>
      </c>
      <c r="M371" t="s">
        <v>1</v>
      </c>
      <c r="N371" t="s">
        <v>1</v>
      </c>
      <c r="O371" t="s">
        <v>1</v>
      </c>
      <c r="P371" t="s">
        <v>1</v>
      </c>
      <c r="Q371" t="s">
        <v>1</v>
      </c>
      <c r="R371" t="s">
        <v>1</v>
      </c>
      <c r="S371" t="s">
        <v>1</v>
      </c>
      <c r="T371" t="s">
        <v>1</v>
      </c>
      <c r="U371" t="s">
        <v>1</v>
      </c>
      <c r="V371" t="s">
        <v>1</v>
      </c>
      <c r="W371" t="s">
        <v>1</v>
      </c>
      <c r="X371" t="s">
        <v>1</v>
      </c>
      <c r="Y371" t="s">
        <v>1</v>
      </c>
      <c r="Z371" t="s">
        <v>1</v>
      </c>
      <c r="AA371" t="s">
        <v>1</v>
      </c>
      <c r="AB371" t="s">
        <v>1</v>
      </c>
      <c r="AC371" t="s">
        <v>1</v>
      </c>
      <c r="AD371" t="s">
        <v>1</v>
      </c>
      <c r="AE371" t="s">
        <v>1</v>
      </c>
      <c r="AF371" t="s">
        <v>1</v>
      </c>
      <c r="AG371" t="s">
        <v>1</v>
      </c>
      <c r="AH371" t="s">
        <v>1</v>
      </c>
      <c r="AI371" t="s">
        <v>1</v>
      </c>
      <c r="AJ371" t="s">
        <v>1</v>
      </c>
      <c r="AK371" t="s">
        <v>1</v>
      </c>
      <c r="AL371" t="s">
        <v>1</v>
      </c>
      <c r="AM371" t="s">
        <v>1</v>
      </c>
      <c r="AN371">
        <v>339</v>
      </c>
      <c r="AO371">
        <f t="shared" si="45"/>
        <v>339</v>
      </c>
      <c r="AP371">
        <f t="shared" si="47"/>
        <v>63</v>
      </c>
      <c r="AQ371">
        <f t="shared" si="48"/>
        <v>63</v>
      </c>
      <c r="AR371" s="26" t="s">
        <v>1355</v>
      </c>
      <c r="AS371" s="26" t="s">
        <v>1356</v>
      </c>
      <c r="AT371" t="s">
        <v>713</v>
      </c>
      <c r="AU371" t="s">
        <v>1</v>
      </c>
      <c r="AV371" t="s">
        <v>1</v>
      </c>
      <c r="AW371">
        <v>45.39</v>
      </c>
      <c r="AX371">
        <v>-93.89</v>
      </c>
      <c r="AY371" t="s">
        <v>737</v>
      </c>
      <c r="BA371" s="3">
        <v>2</v>
      </c>
      <c r="BB371" s="3"/>
      <c r="BC371" s="3"/>
      <c r="BD371" s="3"/>
      <c r="BE371" s="3"/>
      <c r="BF371">
        <v>2009</v>
      </c>
      <c r="BG371" s="24" t="s">
        <v>733</v>
      </c>
      <c r="BH371" s="24" t="s">
        <v>733</v>
      </c>
      <c r="BI371" s="24" t="s">
        <v>733</v>
      </c>
      <c r="BJ371" s="24" t="s">
        <v>732</v>
      </c>
      <c r="BK371" s="24" t="s">
        <v>733</v>
      </c>
      <c r="BL371" s="25" t="s">
        <v>733</v>
      </c>
      <c r="BM371" s="24" t="s">
        <v>733</v>
      </c>
      <c r="BN371" s="24" t="s">
        <v>732</v>
      </c>
      <c r="BO371" s="24" t="s">
        <v>733</v>
      </c>
      <c r="BP371" s="24" t="s">
        <v>733</v>
      </c>
      <c r="BQ371" s="24" t="s">
        <v>945</v>
      </c>
      <c r="BR371" s="24" t="s">
        <v>945</v>
      </c>
      <c r="BS371" s="25" t="s">
        <v>934</v>
      </c>
      <c r="BT371" s="24" t="s">
        <v>934</v>
      </c>
      <c r="BU371" s="24" t="s">
        <v>934</v>
      </c>
      <c r="BV371" s="24" t="s">
        <v>934</v>
      </c>
      <c r="BW371" s="24" t="s">
        <v>934</v>
      </c>
      <c r="BX371" s="24" t="s">
        <v>934</v>
      </c>
      <c r="BY371" s="25" t="s">
        <v>945</v>
      </c>
      <c r="BZ371" t="s">
        <v>5</v>
      </c>
      <c r="CB371" t="s">
        <v>1</v>
      </c>
      <c r="CC371" s="4">
        <f>11*1000*0.87</f>
        <v>9570</v>
      </c>
      <c r="CD371" s="4"/>
      <c r="CE371" s="4"/>
      <c r="CF371" t="s">
        <v>793</v>
      </c>
      <c r="CG371">
        <v>100</v>
      </c>
      <c r="CH371" t="s">
        <v>805</v>
      </c>
      <c r="CI371" s="1">
        <v>1</v>
      </c>
      <c r="CJ371" s="10" t="s">
        <v>1442</v>
      </c>
      <c r="CK371" s="9" t="s">
        <v>1</v>
      </c>
      <c r="CL371" s="4" t="s">
        <v>1</v>
      </c>
      <c r="CM371" t="s">
        <v>847</v>
      </c>
      <c r="CN371" s="4">
        <v>170.9</v>
      </c>
      <c r="CO371" s="4" t="s">
        <v>1</v>
      </c>
      <c r="CP371" s="4" t="s">
        <v>1</v>
      </c>
      <c r="CQ371" s="4" t="s">
        <v>1</v>
      </c>
      <c r="CR371" s="4" t="s">
        <v>1</v>
      </c>
      <c r="CS371" s="4" t="s">
        <v>1</v>
      </c>
      <c r="CT371" s="4" t="s">
        <v>1</v>
      </c>
      <c r="CU371" s="4" t="s">
        <v>1</v>
      </c>
      <c r="CV371" t="s">
        <v>852</v>
      </c>
      <c r="CW371">
        <v>100</v>
      </c>
      <c r="CX371">
        <v>0</v>
      </c>
      <c r="CY371">
        <v>15</v>
      </c>
      <c r="CZ371" s="26" t="s">
        <v>1358</v>
      </c>
      <c r="DA371" t="s">
        <v>734</v>
      </c>
      <c r="DB371">
        <v>83</v>
      </c>
      <c r="DC371">
        <v>0</v>
      </c>
      <c r="DD371">
        <v>15</v>
      </c>
      <c r="DE371" s="26" t="s">
        <v>1358</v>
      </c>
      <c r="DF371" t="s">
        <v>735</v>
      </c>
      <c r="DG371">
        <v>9.5</v>
      </c>
      <c r="DH371">
        <v>0</v>
      </c>
      <c r="DI371">
        <v>15</v>
      </c>
      <c r="DJ371" s="26" t="s">
        <v>1358</v>
      </c>
      <c r="DK371" t="s">
        <v>736</v>
      </c>
      <c r="DL371">
        <v>7.5</v>
      </c>
      <c r="DM371">
        <v>0</v>
      </c>
      <c r="DN371">
        <v>15</v>
      </c>
      <c r="DO371" s="26" t="s">
        <v>1358</v>
      </c>
      <c r="DP371" t="s">
        <v>1</v>
      </c>
      <c r="DQ371" t="s">
        <v>1</v>
      </c>
      <c r="DR371" t="s">
        <v>1</v>
      </c>
      <c r="DS371" t="s">
        <v>1</v>
      </c>
      <c r="DT371" t="s">
        <v>1</v>
      </c>
      <c r="DU371" t="s">
        <v>1</v>
      </c>
      <c r="EA371" t="s">
        <v>982</v>
      </c>
      <c r="EB371">
        <v>13</v>
      </c>
      <c r="EC371">
        <v>0</v>
      </c>
      <c r="ED371">
        <v>15</v>
      </c>
      <c r="EE371" s="26" t="s">
        <v>1358</v>
      </c>
      <c r="EF371" s="26"/>
      <c r="FZ371" t="s">
        <v>806</v>
      </c>
      <c r="GA371">
        <v>632</v>
      </c>
      <c r="GE371" s="26" t="s">
        <v>1358</v>
      </c>
      <c r="HA371" s="5" t="s">
        <v>1</v>
      </c>
      <c r="HB371" s="4" t="s">
        <v>1</v>
      </c>
      <c r="HC371" t="s">
        <v>1</v>
      </c>
      <c r="HD371" t="s">
        <v>1</v>
      </c>
      <c r="HE371" t="s">
        <v>1</v>
      </c>
      <c r="HF371" s="5" t="s">
        <v>1</v>
      </c>
      <c r="HG371" s="4" t="s">
        <v>1</v>
      </c>
      <c r="HH371" t="s">
        <v>1</v>
      </c>
      <c r="HI371" t="s">
        <v>1</v>
      </c>
      <c r="HJ371" t="s">
        <v>1</v>
      </c>
      <c r="HK371" t="s">
        <v>815</v>
      </c>
      <c r="HL371" s="35">
        <v>1.6</v>
      </c>
      <c r="HM371">
        <v>0</v>
      </c>
      <c r="HN371">
        <v>15</v>
      </c>
      <c r="HO371" t="s">
        <v>1451</v>
      </c>
      <c r="HP371" s="26" t="s">
        <v>1358</v>
      </c>
      <c r="HZ371" t="s">
        <v>1295</v>
      </c>
      <c r="IA371">
        <v>186</v>
      </c>
      <c r="IB371" s="10" t="s">
        <v>833</v>
      </c>
      <c r="IC371" s="10"/>
      <c r="ID371" s="10"/>
      <c r="IE371" s="10" t="s">
        <v>1</v>
      </c>
      <c r="IF371" s="10" t="s">
        <v>1</v>
      </c>
      <c r="IG371" s="10"/>
      <c r="IH371" s="10"/>
      <c r="II371" s="10"/>
      <c r="IJ371" s="10"/>
      <c r="IK371" s="10"/>
      <c r="IL371" s="10"/>
      <c r="IM371" s="10"/>
      <c r="IN371" s="10"/>
      <c r="IO371" s="10"/>
      <c r="IP371" s="10"/>
      <c r="IQ371" s="10"/>
      <c r="IR371" s="10"/>
      <c r="IS371" t="s">
        <v>1</v>
      </c>
      <c r="IT371" t="s">
        <v>1</v>
      </c>
      <c r="IW371" t="s">
        <v>1</v>
      </c>
      <c r="IX371" t="s">
        <v>1</v>
      </c>
      <c r="IY371" t="s">
        <v>808</v>
      </c>
      <c r="IZ371">
        <v>1735</v>
      </c>
      <c r="JA371" t="s">
        <v>1</v>
      </c>
      <c r="JB371" s="3" t="s">
        <v>1</v>
      </c>
      <c r="JC371" t="s">
        <v>1</v>
      </c>
      <c r="JD371" s="4" t="s">
        <v>1</v>
      </c>
      <c r="JE371" t="s">
        <v>809</v>
      </c>
      <c r="JF371">
        <v>100</v>
      </c>
      <c r="JR371" t="s">
        <v>1066</v>
      </c>
      <c r="JS371">
        <v>93</v>
      </c>
      <c r="JU371" t="s">
        <v>1</v>
      </c>
      <c r="JW371" t="s">
        <v>1</v>
      </c>
      <c r="JX371">
        <v>0</v>
      </c>
      <c r="JY371">
        <v>120</v>
      </c>
      <c r="JZ371" t="s">
        <v>800</v>
      </c>
      <c r="KA371" t="s">
        <v>426</v>
      </c>
      <c r="KB371" t="s">
        <v>738</v>
      </c>
      <c r="KC371" t="s">
        <v>1</v>
      </c>
      <c r="KD371" t="s">
        <v>1</v>
      </c>
      <c r="KE371" s="1" t="s">
        <v>1</v>
      </c>
      <c r="KF371" t="s">
        <v>1</v>
      </c>
      <c r="KG371" t="s">
        <v>1</v>
      </c>
      <c r="KH371" t="s">
        <v>1</v>
      </c>
      <c r="KI371" t="s">
        <v>1</v>
      </c>
      <c r="KJ371" t="s">
        <v>1</v>
      </c>
      <c r="KK371" t="s">
        <v>1</v>
      </c>
    </row>
    <row r="372" spans="1:297" x14ac:dyDescent="0.2">
      <c r="A372">
        <v>340</v>
      </c>
      <c r="B372" t="s">
        <v>705</v>
      </c>
      <c r="C372" t="s">
        <v>427</v>
      </c>
      <c r="D372" t="s">
        <v>425</v>
      </c>
      <c r="E372">
        <v>63</v>
      </c>
      <c r="F372" t="s">
        <v>1339</v>
      </c>
      <c r="G372" t="s">
        <v>1</v>
      </c>
      <c r="H372" s="26" t="s">
        <v>1420</v>
      </c>
      <c r="I372" t="s">
        <v>1</v>
      </c>
      <c r="J372" t="s">
        <v>1</v>
      </c>
      <c r="K372" t="s">
        <v>1</v>
      </c>
      <c r="L372" t="s">
        <v>1</v>
      </c>
      <c r="M372" t="s">
        <v>1</v>
      </c>
      <c r="N372" t="s">
        <v>1</v>
      </c>
      <c r="O372" t="s">
        <v>1</v>
      </c>
      <c r="P372" t="s">
        <v>1</v>
      </c>
      <c r="Q372" t="s">
        <v>1</v>
      </c>
      <c r="R372" t="s">
        <v>1</v>
      </c>
      <c r="S372" t="s">
        <v>1</v>
      </c>
      <c r="T372" t="s">
        <v>1</v>
      </c>
      <c r="U372" t="s">
        <v>1</v>
      </c>
      <c r="V372" t="s">
        <v>1</v>
      </c>
      <c r="W372" t="s">
        <v>1</v>
      </c>
      <c r="X372" t="s">
        <v>1</v>
      </c>
      <c r="Y372" t="s">
        <v>1</v>
      </c>
      <c r="Z372" t="s">
        <v>1</v>
      </c>
      <c r="AA372" t="s">
        <v>1</v>
      </c>
      <c r="AB372" t="s">
        <v>1</v>
      </c>
      <c r="AC372" t="s">
        <v>1</v>
      </c>
      <c r="AD372" t="s">
        <v>1</v>
      </c>
      <c r="AE372" t="s">
        <v>1</v>
      </c>
      <c r="AF372" t="s">
        <v>1</v>
      </c>
      <c r="AG372" t="s">
        <v>1</v>
      </c>
      <c r="AH372" t="s">
        <v>1</v>
      </c>
      <c r="AI372" t="s">
        <v>1</v>
      </c>
      <c r="AJ372" t="s">
        <v>1</v>
      </c>
      <c r="AK372" t="s">
        <v>1</v>
      </c>
      <c r="AL372" t="s">
        <v>1</v>
      </c>
      <c r="AM372" t="s">
        <v>1</v>
      </c>
      <c r="AN372">
        <v>340</v>
      </c>
      <c r="AO372">
        <f t="shared" si="45"/>
        <v>340</v>
      </c>
      <c r="AP372">
        <f t="shared" si="47"/>
        <v>63</v>
      </c>
      <c r="AQ372">
        <f t="shared" si="48"/>
        <v>63</v>
      </c>
      <c r="AR372" s="26" t="s">
        <v>1355</v>
      </c>
      <c r="AS372" s="26" t="s">
        <v>1356</v>
      </c>
      <c r="AT372" t="s">
        <v>713</v>
      </c>
      <c r="AU372" t="s">
        <v>1</v>
      </c>
      <c r="AV372" t="s">
        <v>1</v>
      </c>
      <c r="AW372">
        <v>45.39</v>
      </c>
      <c r="AX372">
        <v>-93.89</v>
      </c>
      <c r="AY372" t="s">
        <v>737</v>
      </c>
      <c r="BA372" s="3">
        <v>2</v>
      </c>
      <c r="BB372" s="3"/>
      <c r="BC372" s="3"/>
      <c r="BD372" s="3"/>
      <c r="BE372" s="3"/>
      <c r="BF372">
        <v>2009</v>
      </c>
      <c r="BG372" s="24" t="s">
        <v>733</v>
      </c>
      <c r="BH372" s="24" t="s">
        <v>733</v>
      </c>
      <c r="BI372" s="24" t="s">
        <v>733</v>
      </c>
      <c r="BJ372" s="24" t="s">
        <v>732</v>
      </c>
      <c r="BK372" s="24" t="s">
        <v>733</v>
      </c>
      <c r="BL372" s="25" t="s">
        <v>733</v>
      </c>
      <c r="BM372" s="24" t="s">
        <v>733</v>
      </c>
      <c r="BN372" s="24" t="s">
        <v>732</v>
      </c>
      <c r="BO372" s="24" t="s">
        <v>733</v>
      </c>
      <c r="BP372" s="24" t="s">
        <v>733</v>
      </c>
      <c r="BQ372" s="24" t="s">
        <v>945</v>
      </c>
      <c r="BR372" s="24" t="s">
        <v>945</v>
      </c>
      <c r="BS372" s="25" t="s">
        <v>934</v>
      </c>
      <c r="BT372" s="24" t="s">
        <v>934</v>
      </c>
      <c r="BU372" s="24" t="s">
        <v>934</v>
      </c>
      <c r="BV372" s="24" t="s">
        <v>934</v>
      </c>
      <c r="BW372" s="24" t="s">
        <v>934</v>
      </c>
      <c r="BX372" s="24" t="s">
        <v>934</v>
      </c>
      <c r="BY372" s="25" t="s">
        <v>945</v>
      </c>
      <c r="BZ372" t="s">
        <v>5</v>
      </c>
      <c r="CB372" t="s">
        <v>1</v>
      </c>
      <c r="CC372" s="4">
        <f>9.8*1000*0.87</f>
        <v>8526</v>
      </c>
      <c r="CD372" s="4"/>
      <c r="CE372" s="4"/>
      <c r="CF372" t="s">
        <v>793</v>
      </c>
      <c r="CG372">
        <v>100</v>
      </c>
      <c r="CH372" t="s">
        <v>805</v>
      </c>
      <c r="CI372" s="1">
        <v>1</v>
      </c>
      <c r="CJ372" s="10" t="s">
        <v>1442</v>
      </c>
      <c r="CK372" s="9" t="s">
        <v>1</v>
      </c>
      <c r="CL372" s="4" t="s">
        <v>1</v>
      </c>
      <c r="CM372" t="s">
        <v>847</v>
      </c>
      <c r="CN372" s="4">
        <v>146.6</v>
      </c>
      <c r="CO372" s="4" t="s">
        <v>1</v>
      </c>
      <c r="CP372" s="4" t="s">
        <v>1</v>
      </c>
      <c r="CQ372" s="4" t="s">
        <v>1</v>
      </c>
      <c r="CR372" s="4" t="s">
        <v>1</v>
      </c>
      <c r="CS372" s="4" t="s">
        <v>1</v>
      </c>
      <c r="CT372" s="4" t="s">
        <v>1</v>
      </c>
      <c r="CU372" s="4" t="s">
        <v>1</v>
      </c>
      <c r="CV372" t="s">
        <v>852</v>
      </c>
      <c r="CW372">
        <v>100</v>
      </c>
      <c r="CX372">
        <v>0</v>
      </c>
      <c r="CY372">
        <v>15</v>
      </c>
      <c r="CZ372" s="26" t="s">
        <v>1358</v>
      </c>
      <c r="DA372" t="s">
        <v>734</v>
      </c>
      <c r="DB372">
        <v>83</v>
      </c>
      <c r="DC372">
        <v>0</v>
      </c>
      <c r="DD372">
        <v>15</v>
      </c>
      <c r="DE372" s="26" t="s">
        <v>1358</v>
      </c>
      <c r="DF372" t="s">
        <v>735</v>
      </c>
      <c r="DG372">
        <v>9.5</v>
      </c>
      <c r="DH372">
        <v>0</v>
      </c>
      <c r="DI372">
        <v>15</v>
      </c>
      <c r="DJ372" s="26" t="s">
        <v>1358</v>
      </c>
      <c r="DK372" t="s">
        <v>736</v>
      </c>
      <c r="DL372">
        <v>7.5</v>
      </c>
      <c r="DM372">
        <v>0</v>
      </c>
      <c r="DN372">
        <v>15</v>
      </c>
      <c r="DO372" s="26" t="s">
        <v>1358</v>
      </c>
      <c r="DP372" t="s">
        <v>1</v>
      </c>
      <c r="DQ372" t="s">
        <v>1</v>
      </c>
      <c r="DR372" t="s">
        <v>1</v>
      </c>
      <c r="DS372" t="s">
        <v>1</v>
      </c>
      <c r="DT372" t="s">
        <v>1</v>
      </c>
      <c r="DU372" t="s">
        <v>1</v>
      </c>
      <c r="EA372" t="s">
        <v>982</v>
      </c>
      <c r="EB372">
        <v>13</v>
      </c>
      <c r="EC372">
        <v>0</v>
      </c>
      <c r="ED372">
        <v>15</v>
      </c>
      <c r="EE372" s="26" t="s">
        <v>1358</v>
      </c>
      <c r="EF372" s="26"/>
      <c r="FZ372" t="s">
        <v>806</v>
      </c>
      <c r="GA372">
        <v>632</v>
      </c>
      <c r="GE372" s="26" t="s">
        <v>1358</v>
      </c>
      <c r="HA372" s="5" t="s">
        <v>1</v>
      </c>
      <c r="HB372" s="4" t="s">
        <v>1</v>
      </c>
      <c r="HC372" t="s">
        <v>1</v>
      </c>
      <c r="HD372" t="s">
        <v>1</v>
      </c>
      <c r="HE372" t="s">
        <v>1</v>
      </c>
      <c r="HF372" s="5" t="s">
        <v>1</v>
      </c>
      <c r="HG372" s="4" t="s">
        <v>1</v>
      </c>
      <c r="HH372" t="s">
        <v>1</v>
      </c>
      <c r="HI372" t="s">
        <v>1</v>
      </c>
      <c r="HJ372" t="s">
        <v>1</v>
      </c>
      <c r="HK372" t="s">
        <v>815</v>
      </c>
      <c r="HL372" s="35">
        <v>1.6</v>
      </c>
      <c r="HM372">
        <v>0</v>
      </c>
      <c r="HN372">
        <v>15</v>
      </c>
      <c r="HO372" t="s">
        <v>1451</v>
      </c>
      <c r="HP372" s="26" t="s">
        <v>1358</v>
      </c>
      <c r="HZ372" t="s">
        <v>1295</v>
      </c>
      <c r="IA372">
        <v>186</v>
      </c>
      <c r="IB372" s="10" t="s">
        <v>834</v>
      </c>
      <c r="IC372" s="10"/>
      <c r="ID372" s="10"/>
      <c r="IE372" s="10" t="s">
        <v>843</v>
      </c>
      <c r="IF372" s="10" t="b">
        <v>1</v>
      </c>
      <c r="IG372" s="10"/>
      <c r="IH372" s="10"/>
      <c r="II372" s="10"/>
      <c r="IJ372" s="10"/>
      <c r="IK372" s="10"/>
      <c r="IL372" s="10"/>
      <c r="IM372" s="10"/>
      <c r="IN372" s="10"/>
      <c r="IO372" s="10"/>
      <c r="IP372" s="10"/>
      <c r="IQ372" s="10"/>
      <c r="IR372" s="10"/>
      <c r="IS372" t="s">
        <v>1</v>
      </c>
      <c r="IT372" t="s">
        <v>1</v>
      </c>
      <c r="IW372" t="s">
        <v>1</v>
      </c>
      <c r="IX372" t="s">
        <v>1</v>
      </c>
      <c r="IY372" t="s">
        <v>808</v>
      </c>
      <c r="IZ372">
        <v>1735</v>
      </c>
      <c r="JA372" t="s">
        <v>1</v>
      </c>
      <c r="JB372" s="3" t="s">
        <v>1</v>
      </c>
      <c r="JC372" t="s">
        <v>1</v>
      </c>
      <c r="JD372" s="4" t="s">
        <v>1</v>
      </c>
      <c r="JE372" t="s">
        <v>809</v>
      </c>
      <c r="JF372">
        <v>100</v>
      </c>
      <c r="JR372" t="s">
        <v>1066</v>
      </c>
      <c r="JS372">
        <v>118.6</v>
      </c>
      <c r="JU372" t="s">
        <v>1</v>
      </c>
      <c r="JW372" t="s">
        <v>1</v>
      </c>
      <c r="JX372">
        <v>0</v>
      </c>
      <c r="JY372">
        <v>120</v>
      </c>
      <c r="JZ372" t="s">
        <v>800</v>
      </c>
      <c r="KA372" t="s">
        <v>426</v>
      </c>
      <c r="KB372" t="s">
        <v>738</v>
      </c>
      <c r="KC372" t="s">
        <v>1</v>
      </c>
      <c r="KD372" t="s">
        <v>1</v>
      </c>
      <c r="KE372" s="1" t="s">
        <v>1</v>
      </c>
      <c r="KF372" t="s">
        <v>1</v>
      </c>
      <c r="KG372" t="s">
        <v>1</v>
      </c>
      <c r="KH372" t="s">
        <v>1</v>
      </c>
      <c r="KI372" t="s">
        <v>1</v>
      </c>
      <c r="KJ372" t="s">
        <v>1</v>
      </c>
      <c r="KK372" t="s">
        <v>1</v>
      </c>
    </row>
    <row r="373" spans="1:297" x14ac:dyDescent="0.2">
      <c r="A373">
        <v>341</v>
      </c>
      <c r="B373" t="s">
        <v>705</v>
      </c>
      <c r="C373" t="s">
        <v>428</v>
      </c>
      <c r="D373" t="s">
        <v>425</v>
      </c>
      <c r="E373">
        <v>63</v>
      </c>
      <c r="F373" t="s">
        <v>1339</v>
      </c>
      <c r="G373" t="s">
        <v>1</v>
      </c>
      <c r="H373" s="26" t="s">
        <v>1420</v>
      </c>
      <c r="I373" t="s">
        <v>1</v>
      </c>
      <c r="J373" t="s">
        <v>1</v>
      </c>
      <c r="K373" t="s">
        <v>1</v>
      </c>
      <c r="L373" t="s">
        <v>1</v>
      </c>
      <c r="M373" t="s">
        <v>1</v>
      </c>
      <c r="N373" t="s">
        <v>1</v>
      </c>
      <c r="O373" t="s">
        <v>1</v>
      </c>
      <c r="P373" t="s">
        <v>1</v>
      </c>
      <c r="Q373" t="s">
        <v>1</v>
      </c>
      <c r="R373" t="s">
        <v>1</v>
      </c>
      <c r="S373" t="s">
        <v>1</v>
      </c>
      <c r="T373" t="s">
        <v>1</v>
      </c>
      <c r="U373" t="s">
        <v>1</v>
      </c>
      <c r="V373" t="s">
        <v>1</v>
      </c>
      <c r="W373" t="s">
        <v>1</v>
      </c>
      <c r="X373" t="s">
        <v>1</v>
      </c>
      <c r="Y373" t="s">
        <v>1</v>
      </c>
      <c r="Z373" t="s">
        <v>1</v>
      </c>
      <c r="AA373" t="s">
        <v>1</v>
      </c>
      <c r="AB373" t="s">
        <v>1</v>
      </c>
      <c r="AC373" t="s">
        <v>1</v>
      </c>
      <c r="AD373" t="s">
        <v>1</v>
      </c>
      <c r="AE373" t="s">
        <v>1</v>
      </c>
      <c r="AF373" t="s">
        <v>1</v>
      </c>
      <c r="AG373" t="s">
        <v>1</v>
      </c>
      <c r="AH373" t="s">
        <v>1</v>
      </c>
      <c r="AI373" t="s">
        <v>1</v>
      </c>
      <c r="AJ373" t="s">
        <v>1</v>
      </c>
      <c r="AK373" t="s">
        <v>1</v>
      </c>
      <c r="AL373" t="s">
        <v>1</v>
      </c>
      <c r="AM373" t="s">
        <v>1</v>
      </c>
      <c r="AN373">
        <v>341</v>
      </c>
      <c r="AO373">
        <f t="shared" si="45"/>
        <v>341</v>
      </c>
      <c r="AP373">
        <f t="shared" si="47"/>
        <v>63</v>
      </c>
      <c r="AQ373">
        <f t="shared" si="48"/>
        <v>63</v>
      </c>
      <c r="AR373" s="26" t="s">
        <v>1355</v>
      </c>
      <c r="AS373" s="26" t="s">
        <v>1356</v>
      </c>
      <c r="AT373" t="s">
        <v>713</v>
      </c>
      <c r="AU373" t="s">
        <v>1</v>
      </c>
      <c r="AV373" t="s">
        <v>1</v>
      </c>
      <c r="AW373">
        <v>45.39</v>
      </c>
      <c r="AX373">
        <v>-93.89</v>
      </c>
      <c r="AY373" t="s">
        <v>737</v>
      </c>
      <c r="BA373" s="3">
        <v>2</v>
      </c>
      <c r="BB373" s="3"/>
      <c r="BC373" s="3"/>
      <c r="BD373" s="3"/>
      <c r="BE373" s="3"/>
      <c r="BF373">
        <v>2009</v>
      </c>
      <c r="BG373" s="24" t="s">
        <v>733</v>
      </c>
      <c r="BH373" s="24" t="s">
        <v>733</v>
      </c>
      <c r="BI373" s="24" t="s">
        <v>733</v>
      </c>
      <c r="BJ373" s="24" t="s">
        <v>732</v>
      </c>
      <c r="BK373" s="24" t="s">
        <v>733</v>
      </c>
      <c r="BL373" s="25" t="s">
        <v>733</v>
      </c>
      <c r="BM373" s="24" t="s">
        <v>733</v>
      </c>
      <c r="BN373" s="24" t="s">
        <v>732</v>
      </c>
      <c r="BO373" s="24" t="s">
        <v>733</v>
      </c>
      <c r="BP373" s="24" t="s">
        <v>733</v>
      </c>
      <c r="BQ373" s="24" t="s">
        <v>945</v>
      </c>
      <c r="BR373" s="24" t="s">
        <v>945</v>
      </c>
      <c r="BS373" s="25" t="s">
        <v>934</v>
      </c>
      <c r="BT373" s="24" t="s">
        <v>934</v>
      </c>
      <c r="BU373" s="24" t="s">
        <v>934</v>
      </c>
      <c r="BV373" s="24" t="s">
        <v>934</v>
      </c>
      <c r="BW373" s="24" t="s">
        <v>934</v>
      </c>
      <c r="BX373" s="24" t="s">
        <v>934</v>
      </c>
      <c r="BY373" s="25" t="s">
        <v>945</v>
      </c>
      <c r="BZ373" t="s">
        <v>5</v>
      </c>
      <c r="CB373" t="s">
        <v>1</v>
      </c>
      <c r="CC373" s="4">
        <f>9.9*1000*0.87</f>
        <v>8613</v>
      </c>
      <c r="CD373" s="4"/>
      <c r="CE373" s="4"/>
      <c r="CF373" t="s">
        <v>793</v>
      </c>
      <c r="CG373">
        <v>100</v>
      </c>
      <c r="CH373" t="s">
        <v>805</v>
      </c>
      <c r="CI373" s="1">
        <v>1</v>
      </c>
      <c r="CJ373" s="10" t="s">
        <v>1442</v>
      </c>
      <c r="CK373" s="9" t="s">
        <v>1</v>
      </c>
      <c r="CL373" s="4" t="s">
        <v>1</v>
      </c>
      <c r="CM373" t="s">
        <v>847</v>
      </c>
      <c r="CN373" s="4">
        <v>147.19999999999999</v>
      </c>
      <c r="CO373" s="4" t="s">
        <v>1</v>
      </c>
      <c r="CP373" s="4" t="s">
        <v>1</v>
      </c>
      <c r="CQ373" s="4" t="s">
        <v>1</v>
      </c>
      <c r="CR373" s="4" t="s">
        <v>1</v>
      </c>
      <c r="CS373" s="4" t="s">
        <v>1</v>
      </c>
      <c r="CT373" s="4" t="s">
        <v>1</v>
      </c>
      <c r="CU373" s="4" t="s">
        <v>1</v>
      </c>
      <c r="CV373" t="s">
        <v>852</v>
      </c>
      <c r="CW373">
        <v>100</v>
      </c>
      <c r="CX373">
        <v>0</v>
      </c>
      <c r="CY373">
        <v>15</v>
      </c>
      <c r="CZ373" s="26" t="s">
        <v>1358</v>
      </c>
      <c r="DA373" t="s">
        <v>734</v>
      </c>
      <c r="DB373">
        <v>83</v>
      </c>
      <c r="DC373">
        <v>0</v>
      </c>
      <c r="DD373">
        <v>15</v>
      </c>
      <c r="DE373" s="26" t="s">
        <v>1358</v>
      </c>
      <c r="DF373" t="s">
        <v>735</v>
      </c>
      <c r="DG373">
        <v>9.5</v>
      </c>
      <c r="DH373">
        <v>0</v>
      </c>
      <c r="DI373">
        <v>15</v>
      </c>
      <c r="DJ373" s="26" t="s">
        <v>1358</v>
      </c>
      <c r="DK373" t="s">
        <v>736</v>
      </c>
      <c r="DL373">
        <v>7.5</v>
      </c>
      <c r="DM373">
        <v>0</v>
      </c>
      <c r="DN373">
        <v>15</v>
      </c>
      <c r="DO373" s="26" t="s">
        <v>1358</v>
      </c>
      <c r="DP373" t="s">
        <v>1</v>
      </c>
      <c r="DQ373" t="s">
        <v>1</v>
      </c>
      <c r="DR373" t="s">
        <v>1</v>
      </c>
      <c r="DS373" t="s">
        <v>1</v>
      </c>
      <c r="DT373" t="s">
        <v>1</v>
      </c>
      <c r="DU373" t="s">
        <v>1</v>
      </c>
      <c r="EA373" t="s">
        <v>982</v>
      </c>
      <c r="EB373">
        <v>13</v>
      </c>
      <c r="EC373">
        <v>0</v>
      </c>
      <c r="ED373">
        <v>15</v>
      </c>
      <c r="EE373" s="26" t="s">
        <v>1358</v>
      </c>
      <c r="EF373" s="26"/>
      <c r="FZ373" t="s">
        <v>806</v>
      </c>
      <c r="GA373">
        <v>632</v>
      </c>
      <c r="GE373" s="26" t="s">
        <v>1358</v>
      </c>
      <c r="HA373" s="5" t="s">
        <v>1</v>
      </c>
      <c r="HB373" s="4" t="s">
        <v>1</v>
      </c>
      <c r="HC373" t="s">
        <v>1</v>
      </c>
      <c r="HD373" t="s">
        <v>1</v>
      </c>
      <c r="HE373" t="s">
        <v>1</v>
      </c>
      <c r="HF373" s="5" t="s">
        <v>1</v>
      </c>
      <c r="HG373" s="4" t="s">
        <v>1</v>
      </c>
      <c r="HH373" t="s">
        <v>1</v>
      </c>
      <c r="HI373" t="s">
        <v>1</v>
      </c>
      <c r="HJ373" t="s">
        <v>1</v>
      </c>
      <c r="HK373" t="s">
        <v>815</v>
      </c>
      <c r="HL373" s="35">
        <v>1.6</v>
      </c>
      <c r="HM373">
        <v>0</v>
      </c>
      <c r="HN373">
        <v>15</v>
      </c>
      <c r="HO373" t="s">
        <v>1451</v>
      </c>
      <c r="HP373" s="26" t="s">
        <v>1358</v>
      </c>
      <c r="HZ373" t="s">
        <v>1295</v>
      </c>
      <c r="IA373">
        <v>186</v>
      </c>
      <c r="IB373" s="10" t="s">
        <v>822</v>
      </c>
      <c r="IC373" s="10"/>
      <c r="ID373" s="10"/>
      <c r="IE373" s="10" t="s">
        <v>844</v>
      </c>
      <c r="IF373" s="10" t="b">
        <v>1</v>
      </c>
      <c r="IG373" s="10"/>
      <c r="IH373" s="10"/>
      <c r="II373" s="10"/>
      <c r="IJ373" s="10"/>
      <c r="IK373" s="10"/>
      <c r="IL373" s="10"/>
      <c r="IM373" s="10"/>
      <c r="IN373" s="10"/>
      <c r="IO373" s="10"/>
      <c r="IP373" s="10"/>
      <c r="IQ373" s="10"/>
      <c r="IR373" s="10"/>
      <c r="IS373" t="s">
        <v>1</v>
      </c>
      <c r="IT373" t="s">
        <v>1</v>
      </c>
      <c r="IW373" t="s">
        <v>1</v>
      </c>
      <c r="IX373" t="s">
        <v>1</v>
      </c>
      <c r="IY373" t="s">
        <v>808</v>
      </c>
      <c r="IZ373">
        <v>1735</v>
      </c>
      <c r="JA373" t="s">
        <v>1</v>
      </c>
      <c r="JB373" s="3" t="s">
        <v>1</v>
      </c>
      <c r="JC373" t="s">
        <v>1</v>
      </c>
      <c r="JD373" s="4" t="s">
        <v>1</v>
      </c>
      <c r="JE373" t="s">
        <v>809</v>
      </c>
      <c r="JF373">
        <v>100</v>
      </c>
      <c r="JR373" t="s">
        <v>1066</v>
      </c>
      <c r="JS373">
        <v>131.5</v>
      </c>
      <c r="JU373" t="s">
        <v>1</v>
      </c>
      <c r="JW373" t="s">
        <v>1</v>
      </c>
      <c r="JX373">
        <v>0</v>
      </c>
      <c r="JY373">
        <v>120</v>
      </c>
      <c r="JZ373" t="s">
        <v>800</v>
      </c>
      <c r="KA373" t="s">
        <v>426</v>
      </c>
      <c r="KB373" t="s">
        <v>738</v>
      </c>
      <c r="KC373" t="s">
        <v>1</v>
      </c>
      <c r="KD373" t="s">
        <v>1</v>
      </c>
      <c r="KE373" s="1" t="s">
        <v>1</v>
      </c>
      <c r="KF373" t="s">
        <v>1</v>
      </c>
      <c r="KG373" t="s">
        <v>1</v>
      </c>
      <c r="KH373" t="s">
        <v>1</v>
      </c>
      <c r="KI373" t="s">
        <v>1</v>
      </c>
      <c r="KJ373" t="s">
        <v>1</v>
      </c>
      <c r="KK373" t="s">
        <v>1</v>
      </c>
    </row>
    <row r="374" spans="1:297" x14ac:dyDescent="0.2">
      <c r="A374">
        <v>342</v>
      </c>
      <c r="B374" t="s">
        <v>705</v>
      </c>
      <c r="C374" t="s">
        <v>105</v>
      </c>
      <c r="D374" t="s">
        <v>425</v>
      </c>
      <c r="E374">
        <v>63</v>
      </c>
      <c r="F374" t="s">
        <v>1339</v>
      </c>
      <c r="G374" t="s">
        <v>1</v>
      </c>
      <c r="H374" s="26" t="s">
        <v>1420</v>
      </c>
      <c r="I374" t="s">
        <v>1</v>
      </c>
      <c r="J374" t="s">
        <v>1</v>
      </c>
      <c r="K374" t="s">
        <v>1</v>
      </c>
      <c r="L374" t="s">
        <v>1</v>
      </c>
      <c r="M374" t="s">
        <v>1</v>
      </c>
      <c r="N374" t="s">
        <v>1</v>
      </c>
      <c r="O374" t="s">
        <v>1</v>
      </c>
      <c r="P374" t="s">
        <v>1</v>
      </c>
      <c r="Q374" t="s">
        <v>1</v>
      </c>
      <c r="R374" t="s">
        <v>1</v>
      </c>
      <c r="S374" t="s">
        <v>1</v>
      </c>
      <c r="T374" t="s">
        <v>1</v>
      </c>
      <c r="U374" t="s">
        <v>1</v>
      </c>
      <c r="V374" t="s">
        <v>1</v>
      </c>
      <c r="W374" t="s">
        <v>1</v>
      </c>
      <c r="X374" t="s">
        <v>1</v>
      </c>
      <c r="Y374" t="s">
        <v>1</v>
      </c>
      <c r="Z374" t="s">
        <v>1</v>
      </c>
      <c r="AA374" t="s">
        <v>1</v>
      </c>
      <c r="AB374" t="s">
        <v>1</v>
      </c>
      <c r="AC374" t="s">
        <v>1</v>
      </c>
      <c r="AD374" t="s">
        <v>1</v>
      </c>
      <c r="AE374" t="s">
        <v>1</v>
      </c>
      <c r="AF374" t="s">
        <v>1</v>
      </c>
      <c r="AG374" t="s">
        <v>1</v>
      </c>
      <c r="AH374" t="s">
        <v>1</v>
      </c>
      <c r="AI374" t="s">
        <v>1</v>
      </c>
      <c r="AJ374" t="s">
        <v>1</v>
      </c>
      <c r="AK374" t="s">
        <v>1</v>
      </c>
      <c r="AL374" t="s">
        <v>1</v>
      </c>
      <c r="AM374" t="s">
        <v>1</v>
      </c>
      <c r="AN374">
        <v>342</v>
      </c>
      <c r="AO374">
        <f t="shared" si="45"/>
        <v>342</v>
      </c>
      <c r="AP374">
        <f t="shared" si="47"/>
        <v>63</v>
      </c>
      <c r="AQ374">
        <f t="shared" si="48"/>
        <v>63</v>
      </c>
      <c r="AR374" s="26" t="s">
        <v>1355</v>
      </c>
      <c r="AS374" s="26" t="s">
        <v>1356</v>
      </c>
      <c r="AT374" t="s">
        <v>713</v>
      </c>
      <c r="AU374" t="s">
        <v>1</v>
      </c>
      <c r="AV374" t="s">
        <v>1</v>
      </c>
      <c r="AW374">
        <v>45.39</v>
      </c>
      <c r="AX374">
        <v>-93.89</v>
      </c>
      <c r="AY374" t="s">
        <v>737</v>
      </c>
      <c r="BA374" s="3">
        <v>2</v>
      </c>
      <c r="BB374" s="3"/>
      <c r="BC374" s="3"/>
      <c r="BD374" s="3"/>
      <c r="BE374" s="3"/>
      <c r="BF374">
        <v>2009</v>
      </c>
      <c r="BG374" s="24" t="s">
        <v>733</v>
      </c>
      <c r="BH374" s="24" t="s">
        <v>733</v>
      </c>
      <c r="BI374" s="24" t="s">
        <v>733</v>
      </c>
      <c r="BJ374" s="24" t="s">
        <v>732</v>
      </c>
      <c r="BK374" s="24" t="s">
        <v>733</v>
      </c>
      <c r="BL374" s="25" t="s">
        <v>733</v>
      </c>
      <c r="BM374" s="24" t="s">
        <v>733</v>
      </c>
      <c r="BN374" s="24" t="s">
        <v>732</v>
      </c>
      <c r="BO374" s="24" t="s">
        <v>733</v>
      </c>
      <c r="BP374" s="24" t="s">
        <v>733</v>
      </c>
      <c r="BQ374" s="24" t="s">
        <v>945</v>
      </c>
      <c r="BR374" s="24" t="s">
        <v>945</v>
      </c>
      <c r="BS374" s="25" t="s">
        <v>934</v>
      </c>
      <c r="BT374" s="24" t="s">
        <v>934</v>
      </c>
      <c r="BU374" s="24" t="s">
        <v>934</v>
      </c>
      <c r="BV374" s="24" t="s">
        <v>934</v>
      </c>
      <c r="BW374" s="24" t="s">
        <v>934</v>
      </c>
      <c r="BX374" s="24" t="s">
        <v>934</v>
      </c>
      <c r="BY374" s="25" t="s">
        <v>945</v>
      </c>
      <c r="BZ374" t="s">
        <v>5</v>
      </c>
      <c r="CB374" t="s">
        <v>1</v>
      </c>
      <c r="CC374" s="4">
        <f>4.4*1000*0.87</f>
        <v>3828</v>
      </c>
      <c r="CD374" s="4"/>
      <c r="CE374" s="4"/>
      <c r="CF374" t="s">
        <v>793</v>
      </c>
      <c r="CG374">
        <v>100</v>
      </c>
      <c r="CH374" t="s">
        <v>805</v>
      </c>
      <c r="CI374" s="1">
        <v>1</v>
      </c>
      <c r="CJ374" s="10" t="s">
        <v>1442</v>
      </c>
      <c r="CK374" s="9" t="s">
        <v>1</v>
      </c>
      <c r="CL374" s="4" t="s">
        <v>1</v>
      </c>
      <c r="CM374" t="s">
        <v>847</v>
      </c>
      <c r="CN374" s="4">
        <v>52.1</v>
      </c>
      <c r="CO374" s="4" t="s">
        <v>1</v>
      </c>
      <c r="CP374" s="4" t="s">
        <v>1</v>
      </c>
      <c r="CQ374" s="4" t="s">
        <v>1</v>
      </c>
      <c r="CR374" s="4" t="s">
        <v>1</v>
      </c>
      <c r="CS374" s="4" t="s">
        <v>1</v>
      </c>
      <c r="CT374" s="4" t="s">
        <v>1</v>
      </c>
      <c r="CU374" s="4" t="s">
        <v>1</v>
      </c>
      <c r="CV374" t="s">
        <v>852</v>
      </c>
      <c r="CW374">
        <v>100</v>
      </c>
      <c r="CX374">
        <v>0</v>
      </c>
      <c r="CY374">
        <v>15</v>
      </c>
      <c r="CZ374" s="26" t="s">
        <v>1358</v>
      </c>
      <c r="DA374" t="s">
        <v>734</v>
      </c>
      <c r="DB374">
        <v>83</v>
      </c>
      <c r="DC374">
        <v>0</v>
      </c>
      <c r="DD374">
        <v>15</v>
      </c>
      <c r="DE374" s="26" t="s">
        <v>1358</v>
      </c>
      <c r="DF374" t="s">
        <v>735</v>
      </c>
      <c r="DG374">
        <v>9.5</v>
      </c>
      <c r="DH374">
        <v>0</v>
      </c>
      <c r="DI374">
        <v>15</v>
      </c>
      <c r="DJ374" s="26" t="s">
        <v>1358</v>
      </c>
      <c r="DK374" t="s">
        <v>736</v>
      </c>
      <c r="DL374">
        <v>7.5</v>
      </c>
      <c r="DM374">
        <v>0</v>
      </c>
      <c r="DN374">
        <v>15</v>
      </c>
      <c r="DO374" s="26" t="s">
        <v>1358</v>
      </c>
      <c r="DP374" t="s">
        <v>1</v>
      </c>
      <c r="DQ374" t="s">
        <v>1</v>
      </c>
      <c r="DR374" t="s">
        <v>1</v>
      </c>
      <c r="DS374" t="s">
        <v>1</v>
      </c>
      <c r="DT374" t="s">
        <v>1</v>
      </c>
      <c r="DU374" t="s">
        <v>1</v>
      </c>
      <c r="EA374" t="s">
        <v>982</v>
      </c>
      <c r="EB374">
        <v>13</v>
      </c>
      <c r="EC374">
        <v>0</v>
      </c>
      <c r="ED374">
        <v>15</v>
      </c>
      <c r="EE374" s="26" t="s">
        <v>1358</v>
      </c>
      <c r="EF374" s="26"/>
      <c r="FZ374" t="s">
        <v>806</v>
      </c>
      <c r="GA374">
        <v>632</v>
      </c>
      <c r="GE374" s="26" t="s">
        <v>1358</v>
      </c>
      <c r="HA374" s="5" t="s">
        <v>1</v>
      </c>
      <c r="HB374" s="4" t="s">
        <v>1</v>
      </c>
      <c r="HC374" t="s">
        <v>1</v>
      </c>
      <c r="HD374" t="s">
        <v>1</v>
      </c>
      <c r="HE374" t="s">
        <v>1</v>
      </c>
      <c r="HF374" s="5" t="s">
        <v>1</v>
      </c>
      <c r="HG374" s="4" t="s">
        <v>1</v>
      </c>
      <c r="HH374" t="s">
        <v>1</v>
      </c>
      <c r="HI374" t="s">
        <v>1</v>
      </c>
      <c r="HJ374" t="s">
        <v>1</v>
      </c>
      <c r="HK374" t="s">
        <v>815</v>
      </c>
      <c r="HL374" s="35">
        <v>1.6</v>
      </c>
      <c r="HM374">
        <v>0</v>
      </c>
      <c r="HN374">
        <v>15</v>
      </c>
      <c r="HO374" t="s">
        <v>1451</v>
      </c>
      <c r="HP374" s="26" t="s">
        <v>1358</v>
      </c>
      <c r="HZ374" t="s">
        <v>969</v>
      </c>
      <c r="IA374">
        <v>6</v>
      </c>
      <c r="IB374" s="10" t="s">
        <v>1</v>
      </c>
      <c r="IC374" s="10"/>
      <c r="ID374" s="10"/>
      <c r="IE374" s="10" t="s">
        <v>1</v>
      </c>
      <c r="IF374" s="10" t="s">
        <v>1</v>
      </c>
      <c r="IG374" s="10"/>
      <c r="IH374" s="10"/>
      <c r="II374" s="10"/>
      <c r="IJ374" s="10"/>
      <c r="IK374" s="10"/>
      <c r="IL374" s="10"/>
      <c r="IM374" s="10"/>
      <c r="IN374" s="10"/>
      <c r="IO374" s="10"/>
      <c r="IP374" s="10"/>
      <c r="IQ374" s="10"/>
      <c r="IR374" s="10"/>
      <c r="IS374" t="s">
        <v>1</v>
      </c>
      <c r="IT374" t="s">
        <v>1</v>
      </c>
      <c r="IW374" t="s">
        <v>1</v>
      </c>
      <c r="IX374" t="s">
        <v>1</v>
      </c>
      <c r="IY374" t="s">
        <v>808</v>
      </c>
      <c r="IZ374">
        <v>1735</v>
      </c>
      <c r="JA374" t="s">
        <v>1</v>
      </c>
      <c r="JB374" s="3" t="s">
        <v>1</v>
      </c>
      <c r="JC374" t="s">
        <v>1</v>
      </c>
      <c r="JD374" s="4" t="s">
        <v>1</v>
      </c>
      <c r="JE374" t="s">
        <v>809</v>
      </c>
      <c r="JF374">
        <v>100</v>
      </c>
      <c r="JR374" t="s">
        <v>1066</v>
      </c>
      <c r="JS374">
        <v>64.599999999999994</v>
      </c>
      <c r="JU374" t="s">
        <v>1</v>
      </c>
      <c r="JW374" t="s">
        <v>1</v>
      </c>
      <c r="JX374">
        <v>0</v>
      </c>
      <c r="JY374">
        <v>120</v>
      </c>
      <c r="JZ374" t="s">
        <v>800</v>
      </c>
      <c r="KA374" t="s">
        <v>426</v>
      </c>
      <c r="KB374" t="s">
        <v>738</v>
      </c>
      <c r="KC374" t="s">
        <v>1</v>
      </c>
      <c r="KD374" t="s">
        <v>1</v>
      </c>
      <c r="KE374" s="1" t="s">
        <v>1</v>
      </c>
      <c r="KF374" t="s">
        <v>1</v>
      </c>
      <c r="KG374" t="s">
        <v>1</v>
      </c>
      <c r="KH374" t="s">
        <v>1</v>
      </c>
      <c r="KI374" t="s">
        <v>1</v>
      </c>
      <c r="KJ374" t="s">
        <v>1</v>
      </c>
      <c r="KK374" t="s">
        <v>1</v>
      </c>
    </row>
    <row r="375" spans="1:297" x14ac:dyDescent="0.2">
      <c r="A375">
        <v>343</v>
      </c>
      <c r="B375" t="s">
        <v>705</v>
      </c>
      <c r="C375" t="s">
        <v>431</v>
      </c>
      <c r="D375" t="s">
        <v>429</v>
      </c>
      <c r="E375">
        <v>64</v>
      </c>
      <c r="F375" t="s">
        <v>430</v>
      </c>
      <c r="G375" t="s">
        <v>1</v>
      </c>
      <c r="H375" s="26" t="s">
        <v>1420</v>
      </c>
      <c r="I375" t="s">
        <v>1</v>
      </c>
      <c r="J375" t="s">
        <v>1</v>
      </c>
      <c r="K375" t="s">
        <v>1</v>
      </c>
      <c r="L375" t="s">
        <v>1</v>
      </c>
      <c r="M375" t="s">
        <v>1</v>
      </c>
      <c r="N375" t="s">
        <v>1</v>
      </c>
      <c r="O375" t="s">
        <v>1</v>
      </c>
      <c r="P375" t="s">
        <v>1</v>
      </c>
      <c r="Q375" t="s">
        <v>1</v>
      </c>
      <c r="R375" t="s">
        <v>1</v>
      </c>
      <c r="S375" t="s">
        <v>1</v>
      </c>
      <c r="T375" t="s">
        <v>1</v>
      </c>
      <c r="U375" t="s">
        <v>1</v>
      </c>
      <c r="V375" t="s">
        <v>1</v>
      </c>
      <c r="W375" t="s">
        <v>1</v>
      </c>
      <c r="X375" t="s">
        <v>1</v>
      </c>
      <c r="Y375" t="s">
        <v>1</v>
      </c>
      <c r="Z375" t="s">
        <v>1</v>
      </c>
      <c r="AA375" t="s">
        <v>1</v>
      </c>
      <c r="AB375" t="s">
        <v>1</v>
      </c>
      <c r="AC375" t="s">
        <v>1</v>
      </c>
      <c r="AD375" t="s">
        <v>1</v>
      </c>
      <c r="AE375" t="s">
        <v>1</v>
      </c>
      <c r="AF375" t="s">
        <v>1</v>
      </c>
      <c r="AG375" t="s">
        <v>1</v>
      </c>
      <c r="AH375" t="s">
        <v>1</v>
      </c>
      <c r="AI375" t="s">
        <v>1</v>
      </c>
      <c r="AJ375" t="s">
        <v>1</v>
      </c>
      <c r="AK375" t="s">
        <v>1</v>
      </c>
      <c r="AL375" t="s">
        <v>1</v>
      </c>
      <c r="AM375" t="s">
        <v>1</v>
      </c>
      <c r="AN375">
        <v>343</v>
      </c>
      <c r="AO375">
        <f t="shared" si="45"/>
        <v>343</v>
      </c>
      <c r="AP375">
        <f t="shared" si="47"/>
        <v>64</v>
      </c>
      <c r="AQ375">
        <f t="shared" si="48"/>
        <v>64</v>
      </c>
      <c r="AR375" s="26" t="s">
        <v>1355</v>
      </c>
      <c r="AS375" s="26" t="s">
        <v>1356</v>
      </c>
      <c r="AT375" t="s">
        <v>713</v>
      </c>
      <c r="AU375" t="s">
        <v>1</v>
      </c>
      <c r="AV375" t="s">
        <v>1</v>
      </c>
      <c r="AW375">
        <v>45.39</v>
      </c>
      <c r="AX375">
        <v>-93.89</v>
      </c>
      <c r="AY375" t="s">
        <v>737</v>
      </c>
      <c r="BA375" s="3">
        <v>3</v>
      </c>
      <c r="BB375" s="3"/>
      <c r="BC375" s="3"/>
      <c r="BD375" s="3"/>
      <c r="BE375" s="3"/>
      <c r="BF375">
        <v>2007</v>
      </c>
      <c r="BG375" s="24" t="s">
        <v>733</v>
      </c>
      <c r="BH375" s="24" t="s">
        <v>733</v>
      </c>
      <c r="BI375" s="24" t="s">
        <v>733</v>
      </c>
      <c r="BJ375" s="24" t="s">
        <v>732</v>
      </c>
      <c r="BK375" s="24" t="s">
        <v>733</v>
      </c>
      <c r="BL375" s="25" t="s">
        <v>733</v>
      </c>
      <c r="BM375" s="24" t="s">
        <v>733</v>
      </c>
      <c r="BN375" s="24" t="s">
        <v>732</v>
      </c>
      <c r="BO375" s="24" t="s">
        <v>733</v>
      </c>
      <c r="BP375" s="24" t="s">
        <v>733</v>
      </c>
      <c r="BQ375" s="24" t="s">
        <v>945</v>
      </c>
      <c r="BR375" s="24" t="s">
        <v>945</v>
      </c>
      <c r="BS375" s="25" t="s">
        <v>934</v>
      </c>
      <c r="BT375" s="24" t="s">
        <v>934</v>
      </c>
      <c r="BU375" s="24" t="s">
        <v>934</v>
      </c>
      <c r="BV375" s="24" t="s">
        <v>934</v>
      </c>
      <c r="BW375" s="24" t="s">
        <v>934</v>
      </c>
      <c r="BX375" s="24" t="s">
        <v>934</v>
      </c>
      <c r="BY375" s="25" t="s">
        <v>945</v>
      </c>
      <c r="BZ375" t="s">
        <v>22</v>
      </c>
      <c r="CB375" t="s">
        <v>1</v>
      </c>
      <c r="CC375" s="4" t="s">
        <v>1</v>
      </c>
      <c r="CD375" s="4"/>
      <c r="CE375" s="4"/>
      <c r="CF375" t="s">
        <v>1</v>
      </c>
      <c r="CG375" t="s">
        <v>1</v>
      </c>
      <c r="CH375" t="s">
        <v>805</v>
      </c>
      <c r="CI375" s="28">
        <v>0.6</v>
      </c>
      <c r="CJ375" s="10" t="s">
        <v>1443</v>
      </c>
      <c r="CK375" s="9" t="s">
        <v>1</v>
      </c>
      <c r="CL375" s="4" t="s">
        <v>1</v>
      </c>
      <c r="CM375" t="s">
        <v>847</v>
      </c>
      <c r="CN375" s="4">
        <v>100.8</v>
      </c>
      <c r="CO375" s="4" t="s">
        <v>1</v>
      </c>
      <c r="CP375" s="4" t="s">
        <v>1</v>
      </c>
      <c r="CQ375" s="4" t="s">
        <v>1</v>
      </c>
      <c r="CR375" s="4" t="s">
        <v>1</v>
      </c>
      <c r="CS375" s="4" t="s">
        <v>1</v>
      </c>
      <c r="CT375" s="4" t="s">
        <v>1</v>
      </c>
      <c r="CU375" s="4" t="s">
        <v>1</v>
      </c>
      <c r="CV375" t="s">
        <v>852</v>
      </c>
      <c r="CW375">
        <v>100</v>
      </c>
      <c r="CX375">
        <v>0</v>
      </c>
      <c r="CY375">
        <v>15</v>
      </c>
      <c r="CZ375" s="26" t="s">
        <v>1358</v>
      </c>
      <c r="DA375" t="s">
        <v>734</v>
      </c>
      <c r="DB375">
        <v>83</v>
      </c>
      <c r="DC375">
        <v>0</v>
      </c>
      <c r="DD375">
        <v>15</v>
      </c>
      <c r="DE375" s="26" t="s">
        <v>1358</v>
      </c>
      <c r="DF375" t="s">
        <v>735</v>
      </c>
      <c r="DG375">
        <v>9.5</v>
      </c>
      <c r="DH375">
        <v>0</v>
      </c>
      <c r="DI375">
        <v>15</v>
      </c>
      <c r="DJ375" s="26" t="s">
        <v>1358</v>
      </c>
      <c r="DK375" t="s">
        <v>736</v>
      </c>
      <c r="DL375">
        <v>7.5</v>
      </c>
      <c r="DM375">
        <v>0</v>
      </c>
      <c r="DN375">
        <v>15</v>
      </c>
      <c r="DO375" s="26" t="s">
        <v>1358</v>
      </c>
      <c r="DP375" t="s">
        <v>6</v>
      </c>
      <c r="DQ375" t="s">
        <v>1</v>
      </c>
      <c r="DR375">
        <v>6.7</v>
      </c>
      <c r="DS375">
        <v>0</v>
      </c>
      <c r="DT375">
        <v>15</v>
      </c>
      <c r="DU375" s="26" t="s">
        <v>1358</v>
      </c>
      <c r="EA375" t="s">
        <v>982</v>
      </c>
      <c r="EB375">
        <v>11.299999999999999</v>
      </c>
      <c r="EC375">
        <v>0</v>
      </c>
      <c r="ED375">
        <v>15</v>
      </c>
      <c r="EE375" s="26" t="s">
        <v>1358</v>
      </c>
      <c r="EF375" s="26"/>
      <c r="FZ375" t="s">
        <v>806</v>
      </c>
      <c r="GA375">
        <v>485</v>
      </c>
      <c r="GE375" s="26" t="s">
        <v>1358</v>
      </c>
      <c r="HA375" s="10" t="s">
        <v>1</v>
      </c>
      <c r="HB375" s="3" t="s">
        <v>1</v>
      </c>
      <c r="HC375" t="s">
        <v>1</v>
      </c>
      <c r="HD375" t="s">
        <v>1</v>
      </c>
      <c r="HE375" t="s">
        <v>1</v>
      </c>
      <c r="HF375" s="5" t="s">
        <v>1</v>
      </c>
      <c r="HG375" s="4" t="s">
        <v>1</v>
      </c>
      <c r="HH375" t="s">
        <v>1</v>
      </c>
      <c r="HI375" t="s">
        <v>1</v>
      </c>
      <c r="HJ375" t="s">
        <v>1</v>
      </c>
      <c r="HK375" t="s">
        <v>815</v>
      </c>
      <c r="HL375" s="35">
        <v>1.6</v>
      </c>
      <c r="HM375">
        <v>0</v>
      </c>
      <c r="HN375">
        <v>15</v>
      </c>
      <c r="HO375" t="s">
        <v>1451</v>
      </c>
      <c r="HP375" s="26" t="s">
        <v>1358</v>
      </c>
      <c r="HZ375" t="s">
        <v>1</v>
      </c>
      <c r="IA375" t="s">
        <v>1</v>
      </c>
      <c r="IB375" s="10" t="s">
        <v>1</v>
      </c>
      <c r="IC375" s="10"/>
      <c r="ID375" s="10"/>
      <c r="IE375" s="10" t="s">
        <v>1</v>
      </c>
      <c r="IF375" s="10" t="s">
        <v>1</v>
      </c>
      <c r="IG375" s="10"/>
      <c r="IH375" s="10"/>
      <c r="II375" s="10"/>
      <c r="IJ375" s="10"/>
      <c r="IK375" s="10"/>
      <c r="IL375" s="10"/>
      <c r="IM375" s="10"/>
      <c r="IN375" s="10"/>
      <c r="IO375" s="10"/>
      <c r="IP375" s="10"/>
      <c r="IQ375" s="10"/>
      <c r="IR375" s="10"/>
      <c r="IS375" t="s">
        <v>1</v>
      </c>
      <c r="IT375" t="s">
        <v>1</v>
      </c>
      <c r="IW375" t="s">
        <v>1</v>
      </c>
      <c r="IX375" t="s">
        <v>1</v>
      </c>
      <c r="IY375" t="s">
        <v>808</v>
      </c>
      <c r="IZ375">
        <v>4350</v>
      </c>
      <c r="JA375" t="s">
        <v>1065</v>
      </c>
      <c r="JB375" s="3">
        <v>8</v>
      </c>
      <c r="JC375" t="s">
        <v>965</v>
      </c>
      <c r="JD375" s="3">
        <f>AVERAGE(21.3,34.7)</f>
        <v>28</v>
      </c>
      <c r="JE375" t="s">
        <v>810</v>
      </c>
      <c r="JF375">
        <v>100</v>
      </c>
      <c r="JR375" t="s">
        <v>1066</v>
      </c>
      <c r="JS375">
        <v>70.400000000000006</v>
      </c>
      <c r="JU375" t="s">
        <v>1</v>
      </c>
      <c r="JW375" t="s">
        <v>1</v>
      </c>
      <c r="JX375">
        <v>0</v>
      </c>
      <c r="JY375">
        <v>120</v>
      </c>
      <c r="JZ375" t="s">
        <v>800</v>
      </c>
      <c r="KA375" t="s">
        <v>432</v>
      </c>
      <c r="KB375" t="s">
        <v>738</v>
      </c>
      <c r="KC375" t="s">
        <v>1</v>
      </c>
      <c r="KD375" t="s">
        <v>1</v>
      </c>
      <c r="KE375" s="1" t="s">
        <v>1</v>
      </c>
      <c r="KF375" t="s">
        <v>1</v>
      </c>
      <c r="KG375" t="s">
        <v>1</v>
      </c>
      <c r="KH375" t="s">
        <v>1</v>
      </c>
      <c r="KI375" t="s">
        <v>1</v>
      </c>
      <c r="KJ375" t="s">
        <v>1</v>
      </c>
      <c r="KK375" t="s">
        <v>1</v>
      </c>
    </row>
    <row r="376" spans="1:297" x14ac:dyDescent="0.2">
      <c r="A376">
        <v>344</v>
      </c>
      <c r="B376" t="s">
        <v>705</v>
      </c>
      <c r="C376" t="s">
        <v>433</v>
      </c>
      <c r="D376" t="s">
        <v>429</v>
      </c>
      <c r="E376">
        <v>64</v>
      </c>
      <c r="F376" t="s">
        <v>430</v>
      </c>
      <c r="G376" t="s">
        <v>1</v>
      </c>
      <c r="H376" s="26" t="s">
        <v>1420</v>
      </c>
      <c r="I376" t="s">
        <v>1</v>
      </c>
      <c r="J376" t="s">
        <v>1</v>
      </c>
      <c r="K376" t="s">
        <v>1</v>
      </c>
      <c r="L376" t="s">
        <v>1</v>
      </c>
      <c r="M376" t="s">
        <v>1</v>
      </c>
      <c r="N376" t="s">
        <v>1</v>
      </c>
      <c r="O376" t="s">
        <v>1</v>
      </c>
      <c r="P376" t="s">
        <v>1</v>
      </c>
      <c r="Q376" t="s">
        <v>1</v>
      </c>
      <c r="R376" t="s">
        <v>1</v>
      </c>
      <c r="S376" t="s">
        <v>1</v>
      </c>
      <c r="T376" t="s">
        <v>1</v>
      </c>
      <c r="U376" t="s">
        <v>1</v>
      </c>
      <c r="V376" t="s">
        <v>1</v>
      </c>
      <c r="W376" t="s">
        <v>1</v>
      </c>
      <c r="X376" t="s">
        <v>1</v>
      </c>
      <c r="Y376" t="s">
        <v>1</v>
      </c>
      <c r="Z376" t="s">
        <v>1</v>
      </c>
      <c r="AA376" t="s">
        <v>1</v>
      </c>
      <c r="AB376" t="s">
        <v>1</v>
      </c>
      <c r="AC376" t="s">
        <v>1</v>
      </c>
      <c r="AD376" t="s">
        <v>1</v>
      </c>
      <c r="AE376" t="s">
        <v>1</v>
      </c>
      <c r="AF376" t="s">
        <v>1</v>
      </c>
      <c r="AG376" t="s">
        <v>1</v>
      </c>
      <c r="AH376" t="s">
        <v>1</v>
      </c>
      <c r="AI376" t="s">
        <v>1</v>
      </c>
      <c r="AJ376" t="s">
        <v>1</v>
      </c>
      <c r="AK376" t="s">
        <v>1</v>
      </c>
      <c r="AL376" t="s">
        <v>1</v>
      </c>
      <c r="AM376" t="s">
        <v>1</v>
      </c>
      <c r="AN376">
        <v>344</v>
      </c>
      <c r="AO376">
        <f t="shared" si="45"/>
        <v>344</v>
      </c>
      <c r="AP376">
        <f t="shared" si="47"/>
        <v>64</v>
      </c>
      <c r="AQ376">
        <f t="shared" si="48"/>
        <v>64</v>
      </c>
      <c r="AR376" s="26" t="s">
        <v>1355</v>
      </c>
      <c r="AS376" s="26" t="s">
        <v>1356</v>
      </c>
      <c r="AT376" t="s">
        <v>713</v>
      </c>
      <c r="AU376" t="s">
        <v>1</v>
      </c>
      <c r="AV376" t="s">
        <v>1</v>
      </c>
      <c r="AW376">
        <v>45.39</v>
      </c>
      <c r="AX376">
        <v>-93.89</v>
      </c>
      <c r="AY376" t="s">
        <v>737</v>
      </c>
      <c r="BA376" s="3">
        <v>3</v>
      </c>
      <c r="BB376" s="3"/>
      <c r="BC376" s="3"/>
      <c r="BD376" s="3"/>
      <c r="BE376" s="3"/>
      <c r="BF376">
        <v>2007</v>
      </c>
      <c r="BG376" s="24" t="s">
        <v>733</v>
      </c>
      <c r="BH376" s="24" t="s">
        <v>733</v>
      </c>
      <c r="BI376" s="24" t="s">
        <v>733</v>
      </c>
      <c r="BJ376" s="24" t="s">
        <v>732</v>
      </c>
      <c r="BK376" s="24" t="s">
        <v>733</v>
      </c>
      <c r="BL376" s="25" t="s">
        <v>733</v>
      </c>
      <c r="BM376" s="24" t="s">
        <v>733</v>
      </c>
      <c r="BN376" s="24" t="s">
        <v>732</v>
      </c>
      <c r="BO376" s="24" t="s">
        <v>733</v>
      </c>
      <c r="BP376" s="24" t="s">
        <v>733</v>
      </c>
      <c r="BQ376" s="24" t="s">
        <v>945</v>
      </c>
      <c r="BR376" s="24" t="s">
        <v>945</v>
      </c>
      <c r="BS376" s="25" t="s">
        <v>934</v>
      </c>
      <c r="BT376" s="24" t="s">
        <v>934</v>
      </c>
      <c r="BU376" s="24" t="s">
        <v>934</v>
      </c>
      <c r="BV376" s="24" t="s">
        <v>934</v>
      </c>
      <c r="BW376" s="24" t="s">
        <v>934</v>
      </c>
      <c r="BX376" s="24" t="s">
        <v>934</v>
      </c>
      <c r="BY376" s="25" t="s">
        <v>945</v>
      </c>
      <c r="BZ376" t="s">
        <v>22</v>
      </c>
      <c r="CB376" t="s">
        <v>1</v>
      </c>
      <c r="CC376" s="4" t="s">
        <v>1</v>
      </c>
      <c r="CD376" s="4"/>
      <c r="CE376" s="4"/>
      <c r="CF376" t="s">
        <v>1</v>
      </c>
      <c r="CG376" t="s">
        <v>1</v>
      </c>
      <c r="CH376" t="s">
        <v>805</v>
      </c>
      <c r="CI376" s="28">
        <v>0.6</v>
      </c>
      <c r="CJ376" s="10" t="s">
        <v>1443</v>
      </c>
      <c r="CK376" s="9" t="s">
        <v>1</v>
      </c>
      <c r="CL376" s="4" t="s">
        <v>1</v>
      </c>
      <c r="CM376" t="s">
        <v>847</v>
      </c>
      <c r="CN376" s="4">
        <v>150.30000000000001</v>
      </c>
      <c r="CO376" s="4" t="s">
        <v>1</v>
      </c>
      <c r="CP376" s="4" t="s">
        <v>1</v>
      </c>
      <c r="CQ376" s="4" t="s">
        <v>1</v>
      </c>
      <c r="CR376" s="4" t="s">
        <v>1</v>
      </c>
      <c r="CS376" s="4" t="s">
        <v>1</v>
      </c>
      <c r="CT376" s="4" t="s">
        <v>1</v>
      </c>
      <c r="CU376" s="4" t="s">
        <v>1</v>
      </c>
      <c r="CV376" t="s">
        <v>852</v>
      </c>
      <c r="CW376">
        <v>100</v>
      </c>
      <c r="CX376">
        <v>0</v>
      </c>
      <c r="CY376">
        <v>15</v>
      </c>
      <c r="CZ376" s="26" t="s">
        <v>1358</v>
      </c>
      <c r="DA376" t="s">
        <v>734</v>
      </c>
      <c r="DB376">
        <v>83</v>
      </c>
      <c r="DC376">
        <v>0</v>
      </c>
      <c r="DD376">
        <v>15</v>
      </c>
      <c r="DE376" s="26" t="s">
        <v>1358</v>
      </c>
      <c r="DF376" t="s">
        <v>735</v>
      </c>
      <c r="DG376">
        <v>9.5</v>
      </c>
      <c r="DH376">
        <v>0</v>
      </c>
      <c r="DI376">
        <v>15</v>
      </c>
      <c r="DJ376" s="26" t="s">
        <v>1358</v>
      </c>
      <c r="DK376" t="s">
        <v>736</v>
      </c>
      <c r="DL376">
        <v>7.5</v>
      </c>
      <c r="DM376">
        <v>0</v>
      </c>
      <c r="DN376">
        <v>15</v>
      </c>
      <c r="DO376" s="26" t="s">
        <v>1358</v>
      </c>
      <c r="DP376" t="s">
        <v>6</v>
      </c>
      <c r="DQ376" t="s">
        <v>1</v>
      </c>
      <c r="DR376">
        <v>6.7</v>
      </c>
      <c r="DS376">
        <v>0</v>
      </c>
      <c r="DT376">
        <v>15</v>
      </c>
      <c r="DU376" s="26" t="s">
        <v>1358</v>
      </c>
      <c r="EA376" t="s">
        <v>982</v>
      </c>
      <c r="EB376">
        <v>11.299999999999999</v>
      </c>
      <c r="EC376">
        <v>0</v>
      </c>
      <c r="ED376">
        <v>15</v>
      </c>
      <c r="EE376" s="26" t="s">
        <v>1358</v>
      </c>
      <c r="EF376" s="26"/>
      <c r="FZ376" t="s">
        <v>806</v>
      </c>
      <c r="GA376">
        <v>485</v>
      </c>
      <c r="GE376" s="26" t="s">
        <v>1358</v>
      </c>
      <c r="HA376" s="10" t="s">
        <v>1</v>
      </c>
      <c r="HB376" s="3" t="s">
        <v>1</v>
      </c>
      <c r="HC376" t="s">
        <v>1</v>
      </c>
      <c r="HD376" t="s">
        <v>1</v>
      </c>
      <c r="HE376" t="s">
        <v>1</v>
      </c>
      <c r="HF376" s="5" t="s">
        <v>1</v>
      </c>
      <c r="HG376" s="4" t="s">
        <v>1</v>
      </c>
      <c r="HH376" t="s">
        <v>1</v>
      </c>
      <c r="HI376" t="s">
        <v>1</v>
      </c>
      <c r="HJ376" t="s">
        <v>1</v>
      </c>
      <c r="HK376" t="s">
        <v>815</v>
      </c>
      <c r="HL376" s="35">
        <v>1.6</v>
      </c>
      <c r="HM376">
        <v>0</v>
      </c>
      <c r="HN376">
        <v>15</v>
      </c>
      <c r="HO376" t="s">
        <v>1451</v>
      </c>
      <c r="HP376" s="26" t="s">
        <v>1358</v>
      </c>
      <c r="HZ376" t="s">
        <v>1295</v>
      </c>
      <c r="IA376">
        <v>90</v>
      </c>
      <c r="IB376" s="10" t="s">
        <v>835</v>
      </c>
      <c r="IC376" s="10"/>
      <c r="ID376" s="10"/>
      <c r="IE376" s="10" t="s">
        <v>1</v>
      </c>
      <c r="IF376" s="10" t="s">
        <v>1</v>
      </c>
      <c r="IG376" s="10"/>
      <c r="IH376" s="10"/>
      <c r="II376" s="10"/>
      <c r="IJ376" s="10"/>
      <c r="IK376" s="10"/>
      <c r="IL376" s="10"/>
      <c r="IM376" s="10"/>
      <c r="IN376" s="10"/>
      <c r="IO376" s="10"/>
      <c r="IP376" s="10"/>
      <c r="IQ376" s="10"/>
      <c r="IR376" s="10"/>
      <c r="IS376" t="s">
        <v>1</v>
      </c>
      <c r="IT376" t="s">
        <v>1</v>
      </c>
      <c r="IW376" t="s">
        <v>1</v>
      </c>
      <c r="IX376" t="s">
        <v>1</v>
      </c>
      <c r="IY376" t="s">
        <v>808</v>
      </c>
      <c r="IZ376">
        <v>4350</v>
      </c>
      <c r="JA376" t="s">
        <v>1065</v>
      </c>
      <c r="JB376" s="3">
        <v>8</v>
      </c>
      <c r="JC376" t="s">
        <v>965</v>
      </c>
      <c r="JD376" s="3">
        <f t="shared" ref="JD376:JD386" si="53">AVERAGE(21.3,34.7)</f>
        <v>28</v>
      </c>
      <c r="JE376" t="s">
        <v>810</v>
      </c>
      <c r="JF376">
        <v>100</v>
      </c>
      <c r="JR376" t="s">
        <v>1066</v>
      </c>
      <c r="JS376">
        <v>100.8</v>
      </c>
      <c r="JU376" t="s">
        <v>1</v>
      </c>
      <c r="JW376" t="s">
        <v>1</v>
      </c>
      <c r="JX376">
        <v>0</v>
      </c>
      <c r="JY376">
        <v>120</v>
      </c>
      <c r="JZ376" t="s">
        <v>800</v>
      </c>
      <c r="KA376" t="s">
        <v>432</v>
      </c>
      <c r="KB376" t="s">
        <v>738</v>
      </c>
      <c r="KC376" t="s">
        <v>1</v>
      </c>
      <c r="KD376" t="s">
        <v>1</v>
      </c>
      <c r="KE376" s="1" t="s">
        <v>1</v>
      </c>
      <c r="KF376" t="s">
        <v>1</v>
      </c>
      <c r="KG376" t="s">
        <v>1</v>
      </c>
      <c r="KH376" t="s">
        <v>1</v>
      </c>
      <c r="KI376" t="s">
        <v>1</v>
      </c>
      <c r="KJ376" t="s">
        <v>1</v>
      </c>
      <c r="KK376" t="s">
        <v>1</v>
      </c>
    </row>
    <row r="377" spans="1:297" x14ac:dyDescent="0.2">
      <c r="A377">
        <v>345</v>
      </c>
      <c r="B377" t="s">
        <v>705</v>
      </c>
      <c r="C377" t="s">
        <v>434</v>
      </c>
      <c r="D377" t="s">
        <v>429</v>
      </c>
      <c r="E377">
        <v>64</v>
      </c>
      <c r="F377" t="s">
        <v>430</v>
      </c>
      <c r="G377" t="s">
        <v>1</v>
      </c>
      <c r="H377" s="26" t="s">
        <v>1420</v>
      </c>
      <c r="I377" t="s">
        <v>1</v>
      </c>
      <c r="J377" t="s">
        <v>1</v>
      </c>
      <c r="K377" t="s">
        <v>1</v>
      </c>
      <c r="L377" t="s">
        <v>1</v>
      </c>
      <c r="M377" t="s">
        <v>1</v>
      </c>
      <c r="N377" t="s">
        <v>1</v>
      </c>
      <c r="O377" t="s">
        <v>1</v>
      </c>
      <c r="P377" t="s">
        <v>1</v>
      </c>
      <c r="Q377" t="s">
        <v>1</v>
      </c>
      <c r="R377" t="s">
        <v>1</v>
      </c>
      <c r="S377" t="s">
        <v>1</v>
      </c>
      <c r="T377" t="s">
        <v>1</v>
      </c>
      <c r="U377" t="s">
        <v>1</v>
      </c>
      <c r="V377" t="s">
        <v>1</v>
      </c>
      <c r="W377" t="s">
        <v>1</v>
      </c>
      <c r="X377" t="s">
        <v>1</v>
      </c>
      <c r="Y377" t="s">
        <v>1</v>
      </c>
      <c r="Z377" t="s">
        <v>1</v>
      </c>
      <c r="AA377" t="s">
        <v>1</v>
      </c>
      <c r="AB377" t="s">
        <v>1</v>
      </c>
      <c r="AC377" t="s">
        <v>1</v>
      </c>
      <c r="AD377" t="s">
        <v>1</v>
      </c>
      <c r="AE377" t="s">
        <v>1</v>
      </c>
      <c r="AF377" t="s">
        <v>1</v>
      </c>
      <c r="AG377" t="s">
        <v>1</v>
      </c>
      <c r="AH377" t="s">
        <v>1</v>
      </c>
      <c r="AI377" t="s">
        <v>1</v>
      </c>
      <c r="AJ377" t="s">
        <v>1</v>
      </c>
      <c r="AK377" t="s">
        <v>1</v>
      </c>
      <c r="AL377" t="s">
        <v>1</v>
      </c>
      <c r="AM377" t="s">
        <v>1</v>
      </c>
      <c r="AN377">
        <v>345</v>
      </c>
      <c r="AO377">
        <f t="shared" si="45"/>
        <v>345</v>
      </c>
      <c r="AP377">
        <f t="shared" si="47"/>
        <v>64</v>
      </c>
      <c r="AQ377">
        <f t="shared" si="48"/>
        <v>64</v>
      </c>
      <c r="AR377" s="26" t="s">
        <v>1355</v>
      </c>
      <c r="AS377" s="26" t="s">
        <v>1356</v>
      </c>
      <c r="AT377" t="s">
        <v>713</v>
      </c>
      <c r="AU377" t="s">
        <v>1</v>
      </c>
      <c r="AV377" t="s">
        <v>1</v>
      </c>
      <c r="AW377">
        <v>45.39</v>
      </c>
      <c r="AX377">
        <v>-93.89</v>
      </c>
      <c r="AY377" t="s">
        <v>737</v>
      </c>
      <c r="BA377" s="3">
        <v>3</v>
      </c>
      <c r="BB377" s="3"/>
      <c r="BC377" s="3"/>
      <c r="BD377" s="3"/>
      <c r="BE377" s="3"/>
      <c r="BF377">
        <v>2007</v>
      </c>
      <c r="BG377" s="24" t="s">
        <v>733</v>
      </c>
      <c r="BH377" s="24" t="s">
        <v>733</v>
      </c>
      <c r="BI377" s="24" t="s">
        <v>733</v>
      </c>
      <c r="BJ377" s="24" t="s">
        <v>732</v>
      </c>
      <c r="BK377" s="24" t="s">
        <v>733</v>
      </c>
      <c r="BL377" s="25" t="s">
        <v>733</v>
      </c>
      <c r="BM377" s="24" t="s">
        <v>733</v>
      </c>
      <c r="BN377" s="24" t="s">
        <v>732</v>
      </c>
      <c r="BO377" s="24" t="s">
        <v>733</v>
      </c>
      <c r="BP377" s="24" t="s">
        <v>733</v>
      </c>
      <c r="BQ377" s="24" t="s">
        <v>945</v>
      </c>
      <c r="BR377" s="24" t="s">
        <v>945</v>
      </c>
      <c r="BS377" s="25" t="s">
        <v>934</v>
      </c>
      <c r="BT377" s="24" t="s">
        <v>934</v>
      </c>
      <c r="BU377" s="24" t="s">
        <v>934</v>
      </c>
      <c r="BV377" s="24" t="s">
        <v>934</v>
      </c>
      <c r="BW377" s="24" t="s">
        <v>934</v>
      </c>
      <c r="BX377" s="24" t="s">
        <v>934</v>
      </c>
      <c r="BY377" s="25" t="s">
        <v>945</v>
      </c>
      <c r="BZ377" t="s">
        <v>22</v>
      </c>
      <c r="CB377" t="s">
        <v>1</v>
      </c>
      <c r="CC377" s="4" t="s">
        <v>1</v>
      </c>
      <c r="CD377" s="4"/>
      <c r="CE377" s="4"/>
      <c r="CF377" t="s">
        <v>1</v>
      </c>
      <c r="CG377" t="s">
        <v>1</v>
      </c>
      <c r="CH377" t="s">
        <v>805</v>
      </c>
      <c r="CI377" s="28">
        <v>0.6</v>
      </c>
      <c r="CJ377" s="10" t="s">
        <v>1443</v>
      </c>
      <c r="CK377" s="9" t="s">
        <v>1</v>
      </c>
      <c r="CL377" s="4" t="s">
        <v>1</v>
      </c>
      <c r="CM377" t="s">
        <v>847</v>
      </c>
      <c r="CN377" s="4">
        <v>203.1</v>
      </c>
      <c r="CO377" s="4" t="s">
        <v>1</v>
      </c>
      <c r="CP377" s="4" t="s">
        <v>1</v>
      </c>
      <c r="CQ377" s="4" t="s">
        <v>1</v>
      </c>
      <c r="CR377" s="4" t="s">
        <v>1</v>
      </c>
      <c r="CS377" s="4" t="s">
        <v>1</v>
      </c>
      <c r="CT377" s="4" t="s">
        <v>1</v>
      </c>
      <c r="CU377" s="4" t="s">
        <v>1</v>
      </c>
      <c r="CV377" t="s">
        <v>852</v>
      </c>
      <c r="CW377">
        <v>100</v>
      </c>
      <c r="CX377">
        <v>0</v>
      </c>
      <c r="CY377">
        <v>15</v>
      </c>
      <c r="CZ377" s="26" t="s">
        <v>1358</v>
      </c>
      <c r="DA377" t="s">
        <v>734</v>
      </c>
      <c r="DB377">
        <v>83</v>
      </c>
      <c r="DC377">
        <v>0</v>
      </c>
      <c r="DD377">
        <v>15</v>
      </c>
      <c r="DE377" s="26" t="s">
        <v>1358</v>
      </c>
      <c r="DF377" t="s">
        <v>735</v>
      </c>
      <c r="DG377">
        <v>9.5</v>
      </c>
      <c r="DH377">
        <v>0</v>
      </c>
      <c r="DI377">
        <v>15</v>
      </c>
      <c r="DJ377" s="26" t="s">
        <v>1358</v>
      </c>
      <c r="DK377" t="s">
        <v>736</v>
      </c>
      <c r="DL377">
        <v>7.5</v>
      </c>
      <c r="DM377">
        <v>0</v>
      </c>
      <c r="DN377">
        <v>15</v>
      </c>
      <c r="DO377" s="26" t="s">
        <v>1358</v>
      </c>
      <c r="DP377" t="s">
        <v>6</v>
      </c>
      <c r="DQ377" t="s">
        <v>1</v>
      </c>
      <c r="DR377">
        <v>6.7</v>
      </c>
      <c r="DS377">
        <v>0</v>
      </c>
      <c r="DT377">
        <v>15</v>
      </c>
      <c r="DU377" s="26" t="s">
        <v>1358</v>
      </c>
      <c r="EA377" t="s">
        <v>982</v>
      </c>
      <c r="EB377">
        <v>11.299999999999999</v>
      </c>
      <c r="EC377">
        <v>0</v>
      </c>
      <c r="ED377">
        <v>15</v>
      </c>
      <c r="EE377" s="26" t="s">
        <v>1358</v>
      </c>
      <c r="EF377" s="26"/>
      <c r="FZ377" t="s">
        <v>806</v>
      </c>
      <c r="GA377">
        <v>485</v>
      </c>
      <c r="GE377" s="26" t="s">
        <v>1358</v>
      </c>
      <c r="HA377" s="10" t="s">
        <v>1</v>
      </c>
      <c r="HB377" s="3" t="s">
        <v>1</v>
      </c>
      <c r="HC377" t="s">
        <v>1</v>
      </c>
      <c r="HD377" t="s">
        <v>1</v>
      </c>
      <c r="HE377" t="s">
        <v>1</v>
      </c>
      <c r="HF377" s="5" t="s">
        <v>1</v>
      </c>
      <c r="HG377" s="4" t="s">
        <v>1</v>
      </c>
      <c r="HH377" t="s">
        <v>1</v>
      </c>
      <c r="HI377" t="s">
        <v>1</v>
      </c>
      <c r="HJ377" t="s">
        <v>1</v>
      </c>
      <c r="HK377" t="s">
        <v>815</v>
      </c>
      <c r="HL377" s="35">
        <v>1.6</v>
      </c>
      <c r="HM377">
        <v>0</v>
      </c>
      <c r="HN377">
        <v>15</v>
      </c>
      <c r="HO377" t="s">
        <v>1451</v>
      </c>
      <c r="HP377" s="26" t="s">
        <v>1358</v>
      </c>
      <c r="HZ377" t="s">
        <v>1295</v>
      </c>
      <c r="IA377">
        <v>180</v>
      </c>
      <c r="IB377" s="10" t="s">
        <v>835</v>
      </c>
      <c r="IC377" s="10"/>
      <c r="ID377" s="10"/>
      <c r="IE377" s="10" t="s">
        <v>1</v>
      </c>
      <c r="IF377" s="10" t="s">
        <v>1</v>
      </c>
      <c r="IG377" s="10"/>
      <c r="IH377" s="10"/>
      <c r="II377" s="10"/>
      <c r="IJ377" s="10"/>
      <c r="IK377" s="10"/>
      <c r="IL377" s="10"/>
      <c r="IM377" s="10"/>
      <c r="IN377" s="10"/>
      <c r="IO377" s="10"/>
      <c r="IP377" s="10"/>
      <c r="IQ377" s="10"/>
      <c r="IR377" s="10"/>
      <c r="IS377" t="s">
        <v>1</v>
      </c>
      <c r="IT377" t="s">
        <v>1</v>
      </c>
      <c r="IW377" t="s">
        <v>1</v>
      </c>
      <c r="IX377" t="s">
        <v>1</v>
      </c>
      <c r="IY377" t="s">
        <v>808</v>
      </c>
      <c r="IZ377">
        <v>4350</v>
      </c>
      <c r="JA377" t="s">
        <v>1065</v>
      </c>
      <c r="JB377" s="3">
        <v>8</v>
      </c>
      <c r="JC377" t="s">
        <v>965</v>
      </c>
      <c r="JD377" s="3">
        <f t="shared" si="53"/>
        <v>28</v>
      </c>
      <c r="JE377" t="s">
        <v>810</v>
      </c>
      <c r="JF377">
        <v>100</v>
      </c>
      <c r="JR377" t="s">
        <v>1066</v>
      </c>
      <c r="JS377">
        <v>94.3</v>
      </c>
      <c r="JU377" t="s">
        <v>1</v>
      </c>
      <c r="JW377" t="s">
        <v>1</v>
      </c>
      <c r="JX377">
        <v>0</v>
      </c>
      <c r="JY377">
        <v>120</v>
      </c>
      <c r="JZ377" t="s">
        <v>800</v>
      </c>
      <c r="KA377" t="s">
        <v>432</v>
      </c>
      <c r="KB377" t="s">
        <v>738</v>
      </c>
      <c r="KC377" t="s">
        <v>1</v>
      </c>
      <c r="KD377" t="s">
        <v>1</v>
      </c>
      <c r="KE377" s="1" t="s">
        <v>1</v>
      </c>
      <c r="KF377" t="s">
        <v>1</v>
      </c>
      <c r="KG377" t="s">
        <v>1</v>
      </c>
      <c r="KH377" t="s">
        <v>1</v>
      </c>
      <c r="KI377" t="s">
        <v>1</v>
      </c>
      <c r="KJ377" t="s">
        <v>1</v>
      </c>
      <c r="KK377" t="s">
        <v>1</v>
      </c>
    </row>
    <row r="378" spans="1:297" x14ac:dyDescent="0.2">
      <c r="A378">
        <v>346</v>
      </c>
      <c r="B378" t="s">
        <v>705</v>
      </c>
      <c r="C378" t="s">
        <v>435</v>
      </c>
      <c r="D378" t="s">
        <v>429</v>
      </c>
      <c r="E378">
        <v>64</v>
      </c>
      <c r="F378" t="s">
        <v>430</v>
      </c>
      <c r="G378" t="s">
        <v>1</v>
      </c>
      <c r="H378" s="26" t="s">
        <v>1420</v>
      </c>
      <c r="I378" t="s">
        <v>1</v>
      </c>
      <c r="J378" t="s">
        <v>1</v>
      </c>
      <c r="K378" t="s">
        <v>1</v>
      </c>
      <c r="L378" t="s">
        <v>1</v>
      </c>
      <c r="M378" t="s">
        <v>1</v>
      </c>
      <c r="N378" t="s">
        <v>1</v>
      </c>
      <c r="O378" t="s">
        <v>1</v>
      </c>
      <c r="P378" t="s">
        <v>1</v>
      </c>
      <c r="Q378" t="s">
        <v>1</v>
      </c>
      <c r="R378" t="s">
        <v>1</v>
      </c>
      <c r="S378" t="s">
        <v>1</v>
      </c>
      <c r="T378" t="s">
        <v>1</v>
      </c>
      <c r="U378" t="s">
        <v>1</v>
      </c>
      <c r="V378" t="s">
        <v>1</v>
      </c>
      <c r="W378" t="s">
        <v>1</v>
      </c>
      <c r="X378" t="s">
        <v>1</v>
      </c>
      <c r="Y378" t="s">
        <v>1</v>
      </c>
      <c r="Z378" t="s">
        <v>1</v>
      </c>
      <c r="AA378" t="s">
        <v>1</v>
      </c>
      <c r="AB378" t="s">
        <v>1</v>
      </c>
      <c r="AC378" t="s">
        <v>1</v>
      </c>
      <c r="AD378" t="s">
        <v>1</v>
      </c>
      <c r="AE378" t="s">
        <v>1</v>
      </c>
      <c r="AF378" t="s">
        <v>1</v>
      </c>
      <c r="AG378" t="s">
        <v>1</v>
      </c>
      <c r="AH378" t="s">
        <v>1</v>
      </c>
      <c r="AI378" t="s">
        <v>1</v>
      </c>
      <c r="AJ378" t="s">
        <v>1</v>
      </c>
      <c r="AK378" t="s">
        <v>1</v>
      </c>
      <c r="AL378" t="s">
        <v>1</v>
      </c>
      <c r="AM378" t="s">
        <v>1</v>
      </c>
      <c r="AN378">
        <v>346</v>
      </c>
      <c r="AO378">
        <f t="shared" si="45"/>
        <v>346</v>
      </c>
      <c r="AP378">
        <f t="shared" si="47"/>
        <v>64</v>
      </c>
      <c r="AQ378">
        <f t="shared" si="48"/>
        <v>64</v>
      </c>
      <c r="AR378" s="26" t="s">
        <v>1355</v>
      </c>
      <c r="AS378" s="26" t="s">
        <v>1356</v>
      </c>
      <c r="AT378" t="s">
        <v>713</v>
      </c>
      <c r="AU378" t="s">
        <v>1</v>
      </c>
      <c r="AV378" t="s">
        <v>1</v>
      </c>
      <c r="AW378">
        <v>45.39</v>
      </c>
      <c r="AX378">
        <v>-93.89</v>
      </c>
      <c r="AY378" t="s">
        <v>737</v>
      </c>
      <c r="BA378" s="3">
        <v>3</v>
      </c>
      <c r="BB378" s="3"/>
      <c r="BC378" s="3"/>
      <c r="BD378" s="3"/>
      <c r="BE378" s="3"/>
      <c r="BF378">
        <v>2007</v>
      </c>
      <c r="BG378" s="24" t="s">
        <v>733</v>
      </c>
      <c r="BH378" s="24" t="s">
        <v>733</v>
      </c>
      <c r="BI378" s="24" t="s">
        <v>733</v>
      </c>
      <c r="BJ378" s="24" t="s">
        <v>732</v>
      </c>
      <c r="BK378" s="24" t="s">
        <v>733</v>
      </c>
      <c r="BL378" s="25" t="s">
        <v>733</v>
      </c>
      <c r="BM378" s="24" t="s">
        <v>733</v>
      </c>
      <c r="BN378" s="24" t="s">
        <v>732</v>
      </c>
      <c r="BO378" s="24" t="s">
        <v>733</v>
      </c>
      <c r="BP378" s="24" t="s">
        <v>733</v>
      </c>
      <c r="BQ378" s="24" t="s">
        <v>945</v>
      </c>
      <c r="BR378" s="24" t="s">
        <v>945</v>
      </c>
      <c r="BS378" s="25" t="s">
        <v>934</v>
      </c>
      <c r="BT378" s="24" t="s">
        <v>934</v>
      </c>
      <c r="BU378" s="24" t="s">
        <v>934</v>
      </c>
      <c r="BV378" s="24" t="s">
        <v>934</v>
      </c>
      <c r="BW378" s="24" t="s">
        <v>934</v>
      </c>
      <c r="BX378" s="24" t="s">
        <v>934</v>
      </c>
      <c r="BY378" s="25" t="s">
        <v>945</v>
      </c>
      <c r="BZ378" t="s">
        <v>22</v>
      </c>
      <c r="CB378" t="s">
        <v>1</v>
      </c>
      <c r="CC378" s="4" t="s">
        <v>1</v>
      </c>
      <c r="CD378" s="4"/>
      <c r="CE378" s="4"/>
      <c r="CF378" t="s">
        <v>1</v>
      </c>
      <c r="CG378" t="s">
        <v>1</v>
      </c>
      <c r="CH378" t="s">
        <v>805</v>
      </c>
      <c r="CI378" s="28">
        <v>0.6</v>
      </c>
      <c r="CJ378" s="10" t="s">
        <v>1443</v>
      </c>
      <c r="CK378" s="9" t="s">
        <v>1</v>
      </c>
      <c r="CL378" s="4" t="s">
        <v>1</v>
      </c>
      <c r="CM378" t="s">
        <v>847</v>
      </c>
      <c r="CN378" s="4">
        <v>239.9</v>
      </c>
      <c r="CO378" s="4" t="s">
        <v>1</v>
      </c>
      <c r="CP378" s="4" t="s">
        <v>1</v>
      </c>
      <c r="CQ378" s="4" t="s">
        <v>1</v>
      </c>
      <c r="CR378" s="4" t="s">
        <v>1</v>
      </c>
      <c r="CS378" s="4" t="s">
        <v>1</v>
      </c>
      <c r="CT378" s="4" t="s">
        <v>1</v>
      </c>
      <c r="CU378" s="4" t="s">
        <v>1</v>
      </c>
      <c r="CV378" t="s">
        <v>852</v>
      </c>
      <c r="CW378">
        <v>100</v>
      </c>
      <c r="CX378">
        <v>0</v>
      </c>
      <c r="CY378">
        <v>15</v>
      </c>
      <c r="CZ378" s="26" t="s">
        <v>1358</v>
      </c>
      <c r="DA378" t="s">
        <v>734</v>
      </c>
      <c r="DB378">
        <v>83</v>
      </c>
      <c r="DC378">
        <v>0</v>
      </c>
      <c r="DD378">
        <v>15</v>
      </c>
      <c r="DE378" s="26" t="s">
        <v>1358</v>
      </c>
      <c r="DF378" t="s">
        <v>735</v>
      </c>
      <c r="DG378">
        <v>9.5</v>
      </c>
      <c r="DH378">
        <v>0</v>
      </c>
      <c r="DI378">
        <v>15</v>
      </c>
      <c r="DJ378" s="26" t="s">
        <v>1358</v>
      </c>
      <c r="DK378" t="s">
        <v>736</v>
      </c>
      <c r="DL378">
        <v>7.5</v>
      </c>
      <c r="DM378">
        <v>0</v>
      </c>
      <c r="DN378">
        <v>15</v>
      </c>
      <c r="DO378" s="26" t="s">
        <v>1358</v>
      </c>
      <c r="DP378" t="s">
        <v>6</v>
      </c>
      <c r="DQ378" t="s">
        <v>1</v>
      </c>
      <c r="DR378">
        <v>6.7</v>
      </c>
      <c r="DS378">
        <v>0</v>
      </c>
      <c r="DT378">
        <v>15</v>
      </c>
      <c r="DU378" s="26" t="s">
        <v>1358</v>
      </c>
      <c r="EA378" t="s">
        <v>982</v>
      </c>
      <c r="EB378">
        <v>11.299999999999999</v>
      </c>
      <c r="EC378">
        <v>0</v>
      </c>
      <c r="ED378">
        <v>15</v>
      </c>
      <c r="EE378" s="26" t="s">
        <v>1358</v>
      </c>
      <c r="EF378" s="26"/>
      <c r="FZ378" t="s">
        <v>806</v>
      </c>
      <c r="GA378">
        <v>485</v>
      </c>
      <c r="GE378" s="26" t="s">
        <v>1358</v>
      </c>
      <c r="HA378" s="10" t="s">
        <v>1</v>
      </c>
      <c r="HB378" s="3" t="s">
        <v>1</v>
      </c>
      <c r="HC378" t="s">
        <v>1</v>
      </c>
      <c r="HD378" t="s">
        <v>1</v>
      </c>
      <c r="HE378" t="s">
        <v>1</v>
      </c>
      <c r="HF378" s="5" t="s">
        <v>1</v>
      </c>
      <c r="HG378" s="4" t="s">
        <v>1</v>
      </c>
      <c r="HH378" t="s">
        <v>1</v>
      </c>
      <c r="HI378" t="s">
        <v>1</v>
      </c>
      <c r="HJ378" t="s">
        <v>1</v>
      </c>
      <c r="HK378" t="s">
        <v>815</v>
      </c>
      <c r="HL378" s="35">
        <v>1.6</v>
      </c>
      <c r="HM378">
        <v>0</v>
      </c>
      <c r="HN378">
        <v>15</v>
      </c>
      <c r="HO378" t="s">
        <v>1451</v>
      </c>
      <c r="HP378" s="26" t="s">
        <v>1358</v>
      </c>
      <c r="HZ378" t="s">
        <v>1295</v>
      </c>
      <c r="IA378">
        <v>270</v>
      </c>
      <c r="IB378" s="10" t="s">
        <v>835</v>
      </c>
      <c r="IC378" s="10"/>
      <c r="ID378" s="10"/>
      <c r="IE378" s="10" t="s">
        <v>1</v>
      </c>
      <c r="IF378" s="10" t="s">
        <v>1</v>
      </c>
      <c r="IG378" s="10"/>
      <c r="IH378" s="10"/>
      <c r="II378" s="10"/>
      <c r="IJ378" s="10"/>
      <c r="IK378" s="10"/>
      <c r="IL378" s="10"/>
      <c r="IM378" s="10"/>
      <c r="IN378" s="10"/>
      <c r="IO378" s="10"/>
      <c r="IP378" s="10"/>
      <c r="IQ378" s="10"/>
      <c r="IR378" s="10"/>
      <c r="IS378" t="s">
        <v>1</v>
      </c>
      <c r="IT378" t="s">
        <v>1</v>
      </c>
      <c r="IW378" t="s">
        <v>1</v>
      </c>
      <c r="IX378" t="s">
        <v>1</v>
      </c>
      <c r="IY378" t="s">
        <v>808</v>
      </c>
      <c r="IZ378">
        <v>4350</v>
      </c>
      <c r="JA378" t="s">
        <v>1065</v>
      </c>
      <c r="JB378" s="3">
        <v>8</v>
      </c>
      <c r="JC378" t="s">
        <v>965</v>
      </c>
      <c r="JD378" s="3">
        <f t="shared" si="53"/>
        <v>28</v>
      </c>
      <c r="JE378" t="s">
        <v>810</v>
      </c>
      <c r="JF378">
        <v>100</v>
      </c>
      <c r="JR378" t="s">
        <v>1066</v>
      </c>
      <c r="JS378">
        <v>144</v>
      </c>
      <c r="JU378" t="s">
        <v>1</v>
      </c>
      <c r="JW378" t="s">
        <v>1</v>
      </c>
      <c r="JX378">
        <v>0</v>
      </c>
      <c r="JY378">
        <v>120</v>
      </c>
      <c r="JZ378" t="s">
        <v>800</v>
      </c>
      <c r="KA378" t="s">
        <v>432</v>
      </c>
      <c r="KB378" t="s">
        <v>738</v>
      </c>
      <c r="KC378" t="s">
        <v>1</v>
      </c>
      <c r="KD378" t="s">
        <v>1</v>
      </c>
      <c r="KE378" s="1" t="s">
        <v>1</v>
      </c>
      <c r="KF378" t="s">
        <v>1</v>
      </c>
      <c r="KG378" t="s">
        <v>1</v>
      </c>
      <c r="KH378" t="s">
        <v>1</v>
      </c>
      <c r="KI378" t="s">
        <v>1</v>
      </c>
      <c r="KJ378" t="s">
        <v>1</v>
      </c>
      <c r="KK378" t="s">
        <v>1</v>
      </c>
    </row>
    <row r="379" spans="1:297" x14ac:dyDescent="0.2">
      <c r="A379">
        <v>347</v>
      </c>
      <c r="B379" t="s">
        <v>705</v>
      </c>
      <c r="C379" t="s">
        <v>436</v>
      </c>
      <c r="D379" t="s">
        <v>429</v>
      </c>
      <c r="E379">
        <v>64</v>
      </c>
      <c r="F379" t="s">
        <v>430</v>
      </c>
      <c r="G379" t="s">
        <v>1</v>
      </c>
      <c r="H379" s="26" t="s">
        <v>1420</v>
      </c>
      <c r="I379" t="s">
        <v>1</v>
      </c>
      <c r="J379" t="s">
        <v>1</v>
      </c>
      <c r="K379" t="s">
        <v>1</v>
      </c>
      <c r="L379" t="s">
        <v>1</v>
      </c>
      <c r="M379" t="s">
        <v>1</v>
      </c>
      <c r="N379" t="s">
        <v>1</v>
      </c>
      <c r="O379" t="s">
        <v>1</v>
      </c>
      <c r="P379" t="s">
        <v>1</v>
      </c>
      <c r="Q379" t="s">
        <v>1</v>
      </c>
      <c r="R379" t="s">
        <v>1</v>
      </c>
      <c r="S379" t="s">
        <v>1</v>
      </c>
      <c r="T379" t="s">
        <v>1</v>
      </c>
      <c r="U379" t="s">
        <v>1</v>
      </c>
      <c r="V379" t="s">
        <v>1</v>
      </c>
      <c r="W379" t="s">
        <v>1</v>
      </c>
      <c r="X379" t="s">
        <v>1</v>
      </c>
      <c r="Y379" t="s">
        <v>1</v>
      </c>
      <c r="Z379" t="s">
        <v>1</v>
      </c>
      <c r="AA379" t="s">
        <v>1</v>
      </c>
      <c r="AB379" t="s">
        <v>1</v>
      </c>
      <c r="AC379" t="s">
        <v>1</v>
      </c>
      <c r="AD379" t="s">
        <v>1</v>
      </c>
      <c r="AE379" t="s">
        <v>1</v>
      </c>
      <c r="AF379" t="s">
        <v>1</v>
      </c>
      <c r="AG379" t="s">
        <v>1</v>
      </c>
      <c r="AH379" t="s">
        <v>1</v>
      </c>
      <c r="AI379" t="s">
        <v>1</v>
      </c>
      <c r="AJ379" t="s">
        <v>1</v>
      </c>
      <c r="AK379" t="s">
        <v>1</v>
      </c>
      <c r="AL379" t="s">
        <v>1</v>
      </c>
      <c r="AM379" t="s">
        <v>1</v>
      </c>
      <c r="AN379">
        <v>347</v>
      </c>
      <c r="AO379">
        <f t="shared" si="45"/>
        <v>347</v>
      </c>
      <c r="AP379">
        <f t="shared" si="47"/>
        <v>64</v>
      </c>
      <c r="AQ379">
        <f t="shared" si="48"/>
        <v>64</v>
      </c>
      <c r="AR379" s="26" t="s">
        <v>1355</v>
      </c>
      <c r="AS379" s="26" t="s">
        <v>1356</v>
      </c>
      <c r="AT379" t="s">
        <v>713</v>
      </c>
      <c r="AU379" t="s">
        <v>1</v>
      </c>
      <c r="AV379" t="s">
        <v>1</v>
      </c>
      <c r="AW379">
        <v>45.39</v>
      </c>
      <c r="AX379">
        <v>-93.89</v>
      </c>
      <c r="AY379" t="s">
        <v>737</v>
      </c>
      <c r="BA379" s="3">
        <v>3</v>
      </c>
      <c r="BB379" s="3"/>
      <c r="BC379" s="3"/>
      <c r="BD379" s="3"/>
      <c r="BE379" s="3"/>
      <c r="BF379">
        <v>2007</v>
      </c>
      <c r="BG379" s="24" t="s">
        <v>733</v>
      </c>
      <c r="BH379" s="24" t="s">
        <v>733</v>
      </c>
      <c r="BI379" s="24" t="s">
        <v>733</v>
      </c>
      <c r="BJ379" s="24" t="s">
        <v>732</v>
      </c>
      <c r="BK379" s="24" t="s">
        <v>733</v>
      </c>
      <c r="BL379" s="25" t="s">
        <v>733</v>
      </c>
      <c r="BM379" s="24" t="s">
        <v>733</v>
      </c>
      <c r="BN379" s="24" t="s">
        <v>732</v>
      </c>
      <c r="BO379" s="24" t="s">
        <v>733</v>
      </c>
      <c r="BP379" s="24" t="s">
        <v>733</v>
      </c>
      <c r="BQ379" s="24" t="s">
        <v>945</v>
      </c>
      <c r="BR379" s="24" t="s">
        <v>945</v>
      </c>
      <c r="BS379" s="25" t="s">
        <v>934</v>
      </c>
      <c r="BT379" s="24" t="s">
        <v>934</v>
      </c>
      <c r="BU379" s="24" t="s">
        <v>934</v>
      </c>
      <c r="BV379" s="24" t="s">
        <v>934</v>
      </c>
      <c r="BW379" s="24" t="s">
        <v>934</v>
      </c>
      <c r="BX379" s="24" t="s">
        <v>934</v>
      </c>
      <c r="BY379" s="25" t="s">
        <v>945</v>
      </c>
      <c r="BZ379" t="s">
        <v>22</v>
      </c>
      <c r="CB379" t="s">
        <v>1</v>
      </c>
      <c r="CC379" s="4" t="s">
        <v>1</v>
      </c>
      <c r="CD379" s="4"/>
      <c r="CE379" s="4"/>
      <c r="CF379" t="s">
        <v>1</v>
      </c>
      <c r="CG379" t="s">
        <v>1</v>
      </c>
      <c r="CH379" t="s">
        <v>805</v>
      </c>
      <c r="CI379" s="28">
        <v>0.6</v>
      </c>
      <c r="CJ379" s="10" t="s">
        <v>1443</v>
      </c>
      <c r="CK379" s="9" t="s">
        <v>1</v>
      </c>
      <c r="CL379" s="4" t="s">
        <v>1</v>
      </c>
      <c r="CM379" t="s">
        <v>847</v>
      </c>
      <c r="CN379" s="4">
        <v>262.2</v>
      </c>
      <c r="CO379" s="4" t="s">
        <v>1</v>
      </c>
      <c r="CP379" s="4" t="s">
        <v>1</v>
      </c>
      <c r="CQ379" s="4" t="s">
        <v>1</v>
      </c>
      <c r="CR379" s="4" t="s">
        <v>1</v>
      </c>
      <c r="CS379" s="4" t="s">
        <v>1</v>
      </c>
      <c r="CT379" s="4" t="s">
        <v>1</v>
      </c>
      <c r="CU379" s="4" t="s">
        <v>1</v>
      </c>
      <c r="CV379" t="s">
        <v>852</v>
      </c>
      <c r="CW379">
        <v>100</v>
      </c>
      <c r="CX379">
        <v>0</v>
      </c>
      <c r="CY379">
        <v>15</v>
      </c>
      <c r="CZ379" s="26" t="s">
        <v>1358</v>
      </c>
      <c r="DA379" t="s">
        <v>734</v>
      </c>
      <c r="DB379">
        <v>83</v>
      </c>
      <c r="DC379">
        <v>0</v>
      </c>
      <c r="DD379">
        <v>15</v>
      </c>
      <c r="DE379" s="26" t="s">
        <v>1358</v>
      </c>
      <c r="DF379" t="s">
        <v>735</v>
      </c>
      <c r="DG379">
        <v>9.5</v>
      </c>
      <c r="DH379">
        <v>0</v>
      </c>
      <c r="DI379">
        <v>15</v>
      </c>
      <c r="DJ379" s="26" t="s">
        <v>1358</v>
      </c>
      <c r="DK379" t="s">
        <v>736</v>
      </c>
      <c r="DL379">
        <v>7.5</v>
      </c>
      <c r="DM379">
        <v>0</v>
      </c>
      <c r="DN379">
        <v>15</v>
      </c>
      <c r="DO379" s="26" t="s">
        <v>1358</v>
      </c>
      <c r="DP379" t="s">
        <v>6</v>
      </c>
      <c r="DQ379" t="s">
        <v>1</v>
      </c>
      <c r="DR379">
        <v>6.7</v>
      </c>
      <c r="DS379">
        <v>0</v>
      </c>
      <c r="DT379">
        <v>15</v>
      </c>
      <c r="DU379" s="26" t="s">
        <v>1358</v>
      </c>
      <c r="EA379" t="s">
        <v>982</v>
      </c>
      <c r="EB379">
        <v>11.299999999999999</v>
      </c>
      <c r="EC379">
        <v>0</v>
      </c>
      <c r="ED379">
        <v>15</v>
      </c>
      <c r="EE379" s="26" t="s">
        <v>1358</v>
      </c>
      <c r="EF379" s="26"/>
      <c r="FZ379" t="s">
        <v>806</v>
      </c>
      <c r="GA379">
        <v>485</v>
      </c>
      <c r="GE379" s="26" t="s">
        <v>1358</v>
      </c>
      <c r="HA379" s="10" t="s">
        <v>1</v>
      </c>
      <c r="HB379" s="3" t="s">
        <v>1</v>
      </c>
      <c r="HC379" t="s">
        <v>1</v>
      </c>
      <c r="HD379" t="s">
        <v>1</v>
      </c>
      <c r="HE379" t="s">
        <v>1</v>
      </c>
      <c r="HF379" s="5" t="s">
        <v>1</v>
      </c>
      <c r="HG379" s="4" t="s">
        <v>1</v>
      </c>
      <c r="HH379" t="s">
        <v>1</v>
      </c>
      <c r="HI379" t="s">
        <v>1</v>
      </c>
      <c r="HJ379" t="s">
        <v>1</v>
      </c>
      <c r="HK379" t="s">
        <v>815</v>
      </c>
      <c r="HL379" s="35">
        <v>1.6</v>
      </c>
      <c r="HM379">
        <v>0</v>
      </c>
      <c r="HN379">
        <v>15</v>
      </c>
      <c r="HO379" t="s">
        <v>1451</v>
      </c>
      <c r="HP379" s="26" t="s">
        <v>1358</v>
      </c>
      <c r="HZ379" t="s">
        <v>1295</v>
      </c>
      <c r="IA379">
        <v>360</v>
      </c>
      <c r="IB379" s="10" t="s">
        <v>835</v>
      </c>
      <c r="IC379" s="10"/>
      <c r="ID379" s="10"/>
      <c r="IE379" s="10" t="s">
        <v>1</v>
      </c>
      <c r="IF379" s="10" t="s">
        <v>1</v>
      </c>
      <c r="IG379" s="10"/>
      <c r="IH379" s="10"/>
      <c r="II379" s="10"/>
      <c r="IJ379" s="10"/>
      <c r="IK379" s="10"/>
      <c r="IL379" s="10"/>
      <c r="IM379" s="10"/>
      <c r="IN379" s="10"/>
      <c r="IO379" s="10"/>
      <c r="IP379" s="10"/>
      <c r="IQ379" s="10"/>
      <c r="IR379" s="10"/>
      <c r="IS379" t="s">
        <v>1</v>
      </c>
      <c r="IT379" t="s">
        <v>1</v>
      </c>
      <c r="IW379" t="s">
        <v>1</v>
      </c>
      <c r="IX379" t="s">
        <v>1</v>
      </c>
      <c r="IY379" t="s">
        <v>808</v>
      </c>
      <c r="IZ379">
        <v>4350</v>
      </c>
      <c r="JA379" t="s">
        <v>1065</v>
      </c>
      <c r="JB379" s="3">
        <v>8</v>
      </c>
      <c r="JC379" t="s">
        <v>965</v>
      </c>
      <c r="JD379" s="3">
        <f t="shared" si="53"/>
        <v>28</v>
      </c>
      <c r="JE379" t="s">
        <v>810</v>
      </c>
      <c r="JF379">
        <v>100</v>
      </c>
      <c r="JR379" t="s">
        <v>1066</v>
      </c>
      <c r="JS379">
        <v>196.1</v>
      </c>
      <c r="JU379" t="s">
        <v>1</v>
      </c>
      <c r="JW379" t="s">
        <v>1</v>
      </c>
      <c r="JX379">
        <v>0</v>
      </c>
      <c r="JY379">
        <v>120</v>
      </c>
      <c r="JZ379" t="s">
        <v>800</v>
      </c>
      <c r="KA379" t="s">
        <v>432</v>
      </c>
      <c r="KB379" t="s">
        <v>738</v>
      </c>
      <c r="KC379" t="s">
        <v>1</v>
      </c>
      <c r="KD379" t="s">
        <v>1</v>
      </c>
      <c r="KE379" s="1" t="s">
        <v>1</v>
      </c>
      <c r="KF379" t="s">
        <v>1</v>
      </c>
      <c r="KG379" t="s">
        <v>1</v>
      </c>
      <c r="KH379" t="s">
        <v>1</v>
      </c>
      <c r="KI379" t="s">
        <v>1</v>
      </c>
      <c r="KJ379" t="s">
        <v>1</v>
      </c>
      <c r="KK379" t="s">
        <v>1</v>
      </c>
    </row>
    <row r="380" spans="1:297" x14ac:dyDescent="0.2">
      <c r="A380">
        <v>348</v>
      </c>
      <c r="B380" t="s">
        <v>705</v>
      </c>
      <c r="C380" t="s">
        <v>437</v>
      </c>
      <c r="D380" t="s">
        <v>429</v>
      </c>
      <c r="E380">
        <v>64</v>
      </c>
      <c r="F380" t="s">
        <v>430</v>
      </c>
      <c r="G380" t="s">
        <v>1</v>
      </c>
      <c r="H380" s="26" t="s">
        <v>1420</v>
      </c>
      <c r="I380" t="s">
        <v>1</v>
      </c>
      <c r="J380" t="s">
        <v>1</v>
      </c>
      <c r="K380" t="s">
        <v>1</v>
      </c>
      <c r="L380" t="s">
        <v>1</v>
      </c>
      <c r="M380" t="s">
        <v>1</v>
      </c>
      <c r="N380" t="s">
        <v>1</v>
      </c>
      <c r="O380" t="s">
        <v>1</v>
      </c>
      <c r="P380" t="s">
        <v>1</v>
      </c>
      <c r="Q380" t="s">
        <v>1</v>
      </c>
      <c r="R380" t="s">
        <v>1</v>
      </c>
      <c r="S380" t="s">
        <v>1</v>
      </c>
      <c r="T380" t="s">
        <v>1</v>
      </c>
      <c r="U380" t="s">
        <v>1</v>
      </c>
      <c r="V380" t="s">
        <v>1</v>
      </c>
      <c r="W380" t="s">
        <v>1</v>
      </c>
      <c r="X380" t="s">
        <v>1</v>
      </c>
      <c r="Y380" t="s">
        <v>1</v>
      </c>
      <c r="Z380" t="s">
        <v>1</v>
      </c>
      <c r="AA380" t="s">
        <v>1</v>
      </c>
      <c r="AB380" t="s">
        <v>1</v>
      </c>
      <c r="AC380" t="s">
        <v>1</v>
      </c>
      <c r="AD380" t="s">
        <v>1</v>
      </c>
      <c r="AE380" t="s">
        <v>1</v>
      </c>
      <c r="AF380" t="s">
        <v>1</v>
      </c>
      <c r="AG380" t="s">
        <v>1</v>
      </c>
      <c r="AH380" t="s">
        <v>1</v>
      </c>
      <c r="AI380" t="s">
        <v>1</v>
      </c>
      <c r="AJ380" t="s">
        <v>1</v>
      </c>
      <c r="AK380" t="s">
        <v>1</v>
      </c>
      <c r="AL380" t="s">
        <v>1</v>
      </c>
      <c r="AM380" t="s">
        <v>1</v>
      </c>
      <c r="AN380">
        <v>348</v>
      </c>
      <c r="AO380">
        <f t="shared" ref="AO380:AO443" si="54">AN380</f>
        <v>348</v>
      </c>
      <c r="AP380">
        <f t="shared" si="47"/>
        <v>64</v>
      </c>
      <c r="AQ380">
        <f t="shared" si="48"/>
        <v>64</v>
      </c>
      <c r="AR380" s="26" t="s">
        <v>1355</v>
      </c>
      <c r="AS380" s="26" t="s">
        <v>1356</v>
      </c>
      <c r="AT380" t="s">
        <v>713</v>
      </c>
      <c r="AU380" t="s">
        <v>1</v>
      </c>
      <c r="AV380" t="s">
        <v>1</v>
      </c>
      <c r="AW380">
        <v>45.39</v>
      </c>
      <c r="AX380">
        <v>-93.89</v>
      </c>
      <c r="AY380" t="s">
        <v>737</v>
      </c>
      <c r="BA380" s="3">
        <v>3</v>
      </c>
      <c r="BB380" s="3"/>
      <c r="BC380" s="3"/>
      <c r="BD380" s="3"/>
      <c r="BE380" s="3"/>
      <c r="BF380">
        <v>2007</v>
      </c>
      <c r="BG380" s="24" t="s">
        <v>733</v>
      </c>
      <c r="BH380" s="24" t="s">
        <v>733</v>
      </c>
      <c r="BI380" s="24" t="s">
        <v>733</v>
      </c>
      <c r="BJ380" s="24" t="s">
        <v>732</v>
      </c>
      <c r="BK380" s="24" t="s">
        <v>733</v>
      </c>
      <c r="BL380" s="25" t="s">
        <v>733</v>
      </c>
      <c r="BM380" s="24" t="s">
        <v>733</v>
      </c>
      <c r="BN380" s="24" t="s">
        <v>732</v>
      </c>
      <c r="BO380" s="24" t="s">
        <v>733</v>
      </c>
      <c r="BP380" s="24" t="s">
        <v>733</v>
      </c>
      <c r="BQ380" s="24" t="s">
        <v>945</v>
      </c>
      <c r="BR380" s="24" t="s">
        <v>945</v>
      </c>
      <c r="BS380" s="25" t="s">
        <v>934</v>
      </c>
      <c r="BT380" s="24" t="s">
        <v>934</v>
      </c>
      <c r="BU380" s="24" t="s">
        <v>934</v>
      </c>
      <c r="BV380" s="24" t="s">
        <v>934</v>
      </c>
      <c r="BW380" s="24" t="s">
        <v>934</v>
      </c>
      <c r="BX380" s="24" t="s">
        <v>934</v>
      </c>
      <c r="BY380" s="25" t="s">
        <v>945</v>
      </c>
      <c r="BZ380" t="s">
        <v>22</v>
      </c>
      <c r="CB380" t="s">
        <v>1</v>
      </c>
      <c r="CC380" s="4" t="s">
        <v>1</v>
      </c>
      <c r="CD380" s="4"/>
      <c r="CE380" s="4"/>
      <c r="CF380" t="s">
        <v>1</v>
      </c>
      <c r="CG380" t="s">
        <v>1</v>
      </c>
      <c r="CH380" t="s">
        <v>805</v>
      </c>
      <c r="CI380" s="28">
        <v>0.6</v>
      </c>
      <c r="CJ380" s="10" t="s">
        <v>1443</v>
      </c>
      <c r="CK380" s="9" t="s">
        <v>1</v>
      </c>
      <c r="CL380" s="4" t="s">
        <v>1</v>
      </c>
      <c r="CM380" t="s">
        <v>847</v>
      </c>
      <c r="CN380" s="4">
        <v>240.9</v>
      </c>
      <c r="CO380" s="4" t="s">
        <v>1</v>
      </c>
      <c r="CP380" s="4" t="s">
        <v>1</v>
      </c>
      <c r="CQ380" s="4" t="s">
        <v>1</v>
      </c>
      <c r="CR380" s="4" t="s">
        <v>1</v>
      </c>
      <c r="CS380" s="4" t="s">
        <v>1</v>
      </c>
      <c r="CT380" s="4" t="s">
        <v>1</v>
      </c>
      <c r="CU380" s="4" t="s">
        <v>1</v>
      </c>
      <c r="CV380" t="s">
        <v>852</v>
      </c>
      <c r="CW380">
        <v>100</v>
      </c>
      <c r="CX380">
        <v>0</v>
      </c>
      <c r="CY380">
        <v>15</v>
      </c>
      <c r="CZ380" s="26" t="s">
        <v>1358</v>
      </c>
      <c r="DA380" t="s">
        <v>734</v>
      </c>
      <c r="DB380">
        <v>83</v>
      </c>
      <c r="DC380">
        <v>0</v>
      </c>
      <c r="DD380">
        <v>15</v>
      </c>
      <c r="DE380" s="26" t="s">
        <v>1358</v>
      </c>
      <c r="DF380" t="s">
        <v>735</v>
      </c>
      <c r="DG380">
        <v>9.5</v>
      </c>
      <c r="DH380">
        <v>0</v>
      </c>
      <c r="DI380">
        <v>15</v>
      </c>
      <c r="DJ380" s="26" t="s">
        <v>1358</v>
      </c>
      <c r="DK380" t="s">
        <v>736</v>
      </c>
      <c r="DL380">
        <v>7.5</v>
      </c>
      <c r="DM380">
        <v>0</v>
      </c>
      <c r="DN380">
        <v>15</v>
      </c>
      <c r="DO380" s="26" t="s">
        <v>1358</v>
      </c>
      <c r="DP380" t="s">
        <v>6</v>
      </c>
      <c r="DQ380" t="s">
        <v>1</v>
      </c>
      <c r="DR380">
        <v>6.7</v>
      </c>
      <c r="DS380">
        <v>0</v>
      </c>
      <c r="DT380">
        <v>15</v>
      </c>
      <c r="DU380" s="26" t="s">
        <v>1358</v>
      </c>
      <c r="EA380" t="s">
        <v>982</v>
      </c>
      <c r="EB380">
        <v>11.299999999999999</v>
      </c>
      <c r="EC380">
        <v>0</v>
      </c>
      <c r="ED380">
        <v>15</v>
      </c>
      <c r="EE380" s="26" t="s">
        <v>1358</v>
      </c>
      <c r="EF380" s="26"/>
      <c r="FZ380" t="s">
        <v>806</v>
      </c>
      <c r="GA380">
        <v>485</v>
      </c>
      <c r="GE380" s="26" t="s">
        <v>1358</v>
      </c>
      <c r="HA380" s="10" t="s">
        <v>1</v>
      </c>
      <c r="HB380" s="3" t="s">
        <v>1</v>
      </c>
      <c r="HC380" t="s">
        <v>1</v>
      </c>
      <c r="HD380" t="s">
        <v>1</v>
      </c>
      <c r="HE380" t="s">
        <v>1</v>
      </c>
      <c r="HF380" s="5" t="s">
        <v>1</v>
      </c>
      <c r="HG380" s="4" t="s">
        <v>1</v>
      </c>
      <c r="HH380" t="s">
        <v>1</v>
      </c>
      <c r="HI380" t="s">
        <v>1</v>
      </c>
      <c r="HJ380" t="s">
        <v>1</v>
      </c>
      <c r="HK380" t="s">
        <v>815</v>
      </c>
      <c r="HL380" s="35">
        <v>1.6</v>
      </c>
      <c r="HM380">
        <v>0</v>
      </c>
      <c r="HN380">
        <v>15</v>
      </c>
      <c r="HO380" t="s">
        <v>1451</v>
      </c>
      <c r="HP380" s="26" t="s">
        <v>1358</v>
      </c>
      <c r="HZ380" t="s">
        <v>1295</v>
      </c>
      <c r="IA380">
        <v>270</v>
      </c>
      <c r="IB380" s="10" t="s">
        <v>836</v>
      </c>
      <c r="IC380" s="10"/>
      <c r="ID380" s="10"/>
      <c r="IE380" s="10" t="s">
        <v>1</v>
      </c>
      <c r="IF380" s="10" t="s">
        <v>1</v>
      </c>
      <c r="IG380" s="10"/>
      <c r="IH380" s="10"/>
      <c r="II380" s="10"/>
      <c r="IJ380" s="10"/>
      <c r="IK380" s="10"/>
      <c r="IL380" s="10"/>
      <c r="IM380" s="10"/>
      <c r="IN380" s="10"/>
      <c r="IO380" s="10"/>
      <c r="IP380" s="10"/>
      <c r="IQ380" s="10"/>
      <c r="IR380" s="10"/>
      <c r="IS380" t="s">
        <v>1</v>
      </c>
      <c r="IT380" t="s">
        <v>1</v>
      </c>
      <c r="IW380" t="s">
        <v>1</v>
      </c>
      <c r="IX380" t="s">
        <v>1</v>
      </c>
      <c r="IY380" t="s">
        <v>808</v>
      </c>
      <c r="IZ380">
        <v>4350</v>
      </c>
      <c r="JA380" t="s">
        <v>1065</v>
      </c>
      <c r="JB380" s="3">
        <v>8</v>
      </c>
      <c r="JC380" t="s">
        <v>965</v>
      </c>
      <c r="JD380" s="3">
        <f t="shared" si="53"/>
        <v>28</v>
      </c>
      <c r="JE380" t="s">
        <v>810</v>
      </c>
      <c r="JF380">
        <v>100</v>
      </c>
      <c r="JR380" t="s">
        <v>1066</v>
      </c>
      <c r="JS380">
        <v>85.7</v>
      </c>
      <c r="JU380" t="s">
        <v>1</v>
      </c>
      <c r="JW380" t="s">
        <v>1</v>
      </c>
      <c r="JX380">
        <v>0</v>
      </c>
      <c r="JY380">
        <v>120</v>
      </c>
      <c r="JZ380" t="s">
        <v>800</v>
      </c>
      <c r="KA380" t="s">
        <v>432</v>
      </c>
      <c r="KB380" t="s">
        <v>738</v>
      </c>
      <c r="KC380" t="s">
        <v>1</v>
      </c>
      <c r="KD380" t="s">
        <v>1</v>
      </c>
      <c r="KE380" s="1" t="s">
        <v>1</v>
      </c>
      <c r="KF380" t="s">
        <v>1</v>
      </c>
      <c r="KG380" t="s">
        <v>1</v>
      </c>
      <c r="KH380" t="s">
        <v>1</v>
      </c>
      <c r="KI380" t="s">
        <v>1</v>
      </c>
      <c r="KJ380" t="s">
        <v>1</v>
      </c>
      <c r="KK380" t="s">
        <v>1</v>
      </c>
    </row>
    <row r="381" spans="1:297" x14ac:dyDescent="0.2">
      <c r="A381">
        <v>349</v>
      </c>
      <c r="B381" t="s">
        <v>705</v>
      </c>
      <c r="C381" t="s">
        <v>438</v>
      </c>
      <c r="D381" t="s">
        <v>429</v>
      </c>
      <c r="E381">
        <v>64</v>
      </c>
      <c r="F381" t="s">
        <v>430</v>
      </c>
      <c r="G381" t="s">
        <v>1</v>
      </c>
      <c r="H381" s="26" t="s">
        <v>1420</v>
      </c>
      <c r="I381" t="s">
        <v>1</v>
      </c>
      <c r="J381" t="s">
        <v>1</v>
      </c>
      <c r="K381" t="s">
        <v>1</v>
      </c>
      <c r="L381" t="s">
        <v>1</v>
      </c>
      <c r="M381" t="s">
        <v>1</v>
      </c>
      <c r="N381" t="s">
        <v>1</v>
      </c>
      <c r="O381" t="s">
        <v>1</v>
      </c>
      <c r="P381" t="s">
        <v>1</v>
      </c>
      <c r="Q381" t="s">
        <v>1</v>
      </c>
      <c r="R381" t="s">
        <v>1</v>
      </c>
      <c r="S381" t="s">
        <v>1</v>
      </c>
      <c r="T381" t="s">
        <v>1</v>
      </c>
      <c r="U381" t="s">
        <v>1</v>
      </c>
      <c r="V381" t="s">
        <v>1</v>
      </c>
      <c r="W381" t="s">
        <v>1</v>
      </c>
      <c r="X381" t="s">
        <v>1</v>
      </c>
      <c r="Y381" t="s">
        <v>1</v>
      </c>
      <c r="Z381" t="s">
        <v>1</v>
      </c>
      <c r="AA381" t="s">
        <v>1</v>
      </c>
      <c r="AB381" t="s">
        <v>1</v>
      </c>
      <c r="AC381" t="s">
        <v>1</v>
      </c>
      <c r="AD381" t="s">
        <v>1</v>
      </c>
      <c r="AE381" t="s">
        <v>1</v>
      </c>
      <c r="AF381" t="s">
        <v>1</v>
      </c>
      <c r="AG381" t="s">
        <v>1</v>
      </c>
      <c r="AH381" t="s">
        <v>1</v>
      </c>
      <c r="AI381" t="s">
        <v>1</v>
      </c>
      <c r="AJ381" t="s">
        <v>1</v>
      </c>
      <c r="AK381" t="s">
        <v>1</v>
      </c>
      <c r="AL381" t="s">
        <v>1</v>
      </c>
      <c r="AM381" t="s">
        <v>1</v>
      </c>
      <c r="AN381">
        <v>349</v>
      </c>
      <c r="AO381">
        <f t="shared" si="54"/>
        <v>349</v>
      </c>
      <c r="AP381">
        <f t="shared" si="47"/>
        <v>64</v>
      </c>
      <c r="AQ381">
        <f t="shared" si="48"/>
        <v>64</v>
      </c>
      <c r="AR381" s="26" t="s">
        <v>1355</v>
      </c>
      <c r="AS381" s="26" t="s">
        <v>1356</v>
      </c>
      <c r="AT381" t="s">
        <v>713</v>
      </c>
      <c r="AU381" t="s">
        <v>1</v>
      </c>
      <c r="AV381" t="s">
        <v>1</v>
      </c>
      <c r="AW381">
        <v>45.39</v>
      </c>
      <c r="AX381">
        <v>-93.89</v>
      </c>
      <c r="AY381" t="s">
        <v>737</v>
      </c>
      <c r="BA381" s="3">
        <v>3</v>
      </c>
      <c r="BB381" s="3"/>
      <c r="BC381" s="3"/>
      <c r="BD381" s="3"/>
      <c r="BE381" s="3"/>
      <c r="BF381">
        <v>2007</v>
      </c>
      <c r="BG381" s="24" t="s">
        <v>733</v>
      </c>
      <c r="BH381" s="24" t="s">
        <v>733</v>
      </c>
      <c r="BI381" s="24" t="s">
        <v>733</v>
      </c>
      <c r="BJ381" s="24" t="s">
        <v>732</v>
      </c>
      <c r="BK381" s="24" t="s">
        <v>733</v>
      </c>
      <c r="BL381" s="25" t="s">
        <v>733</v>
      </c>
      <c r="BM381" s="24" t="s">
        <v>733</v>
      </c>
      <c r="BN381" s="24" t="s">
        <v>732</v>
      </c>
      <c r="BO381" s="24" t="s">
        <v>733</v>
      </c>
      <c r="BP381" s="24" t="s">
        <v>733</v>
      </c>
      <c r="BQ381" s="24" t="s">
        <v>945</v>
      </c>
      <c r="BR381" s="24" t="s">
        <v>945</v>
      </c>
      <c r="BS381" s="25" t="s">
        <v>934</v>
      </c>
      <c r="BT381" s="24" t="s">
        <v>934</v>
      </c>
      <c r="BU381" s="24" t="s">
        <v>934</v>
      </c>
      <c r="BV381" s="24" t="s">
        <v>934</v>
      </c>
      <c r="BW381" s="24" t="s">
        <v>934</v>
      </c>
      <c r="BX381" s="24" t="s">
        <v>934</v>
      </c>
      <c r="BY381" s="25" t="s">
        <v>945</v>
      </c>
      <c r="BZ381" t="s">
        <v>22</v>
      </c>
      <c r="CB381" t="s">
        <v>1</v>
      </c>
      <c r="CC381" s="4" t="s">
        <v>1</v>
      </c>
      <c r="CD381" s="4"/>
      <c r="CE381" s="4"/>
      <c r="CF381" t="s">
        <v>1</v>
      </c>
      <c r="CG381" t="s">
        <v>1</v>
      </c>
      <c r="CH381" t="s">
        <v>805</v>
      </c>
      <c r="CI381" s="28">
        <v>0.6</v>
      </c>
      <c r="CJ381" s="10" t="s">
        <v>1443</v>
      </c>
      <c r="CK381" s="9" t="s">
        <v>1</v>
      </c>
      <c r="CL381" s="4" t="s">
        <v>1</v>
      </c>
      <c r="CM381" t="s">
        <v>847</v>
      </c>
      <c r="CN381" s="4">
        <v>169.5</v>
      </c>
      <c r="CO381" s="4" t="s">
        <v>1</v>
      </c>
      <c r="CP381" s="4" t="s">
        <v>1</v>
      </c>
      <c r="CQ381" s="4" t="s">
        <v>1</v>
      </c>
      <c r="CR381" s="4" t="s">
        <v>1</v>
      </c>
      <c r="CS381" s="4" t="s">
        <v>1</v>
      </c>
      <c r="CT381" s="4" t="s">
        <v>1</v>
      </c>
      <c r="CU381" s="4" t="s">
        <v>1</v>
      </c>
      <c r="CV381" t="s">
        <v>852</v>
      </c>
      <c r="CW381">
        <v>100</v>
      </c>
      <c r="CX381">
        <v>0</v>
      </c>
      <c r="CY381">
        <v>15</v>
      </c>
      <c r="CZ381" s="26" t="s">
        <v>1358</v>
      </c>
      <c r="DA381" t="s">
        <v>734</v>
      </c>
      <c r="DB381">
        <v>83</v>
      </c>
      <c r="DC381">
        <v>0</v>
      </c>
      <c r="DD381">
        <v>15</v>
      </c>
      <c r="DE381" s="26" t="s">
        <v>1358</v>
      </c>
      <c r="DF381" t="s">
        <v>735</v>
      </c>
      <c r="DG381">
        <v>9.5</v>
      </c>
      <c r="DH381">
        <v>0</v>
      </c>
      <c r="DI381">
        <v>15</v>
      </c>
      <c r="DJ381" s="26" t="s">
        <v>1358</v>
      </c>
      <c r="DK381" t="s">
        <v>736</v>
      </c>
      <c r="DL381">
        <v>7.5</v>
      </c>
      <c r="DM381">
        <v>0</v>
      </c>
      <c r="DN381">
        <v>15</v>
      </c>
      <c r="DO381" s="26" t="s">
        <v>1358</v>
      </c>
      <c r="DP381" t="s">
        <v>6</v>
      </c>
      <c r="DQ381" t="s">
        <v>1</v>
      </c>
      <c r="DR381">
        <v>6.7</v>
      </c>
      <c r="DS381">
        <v>0</v>
      </c>
      <c r="DT381">
        <v>15</v>
      </c>
      <c r="DU381" s="26" t="s">
        <v>1358</v>
      </c>
      <c r="EA381" t="s">
        <v>982</v>
      </c>
      <c r="EB381">
        <v>11.299999999999999</v>
      </c>
      <c r="EC381">
        <v>0</v>
      </c>
      <c r="ED381">
        <v>15</v>
      </c>
      <c r="EE381" s="26" t="s">
        <v>1358</v>
      </c>
      <c r="EF381" s="26"/>
      <c r="FZ381" t="s">
        <v>806</v>
      </c>
      <c r="GA381">
        <v>485</v>
      </c>
      <c r="GE381" s="26" t="s">
        <v>1358</v>
      </c>
      <c r="HA381" s="10" t="s">
        <v>1</v>
      </c>
      <c r="HB381" s="3" t="s">
        <v>1</v>
      </c>
      <c r="HC381" t="s">
        <v>1</v>
      </c>
      <c r="HD381" t="s">
        <v>1</v>
      </c>
      <c r="HE381" t="s">
        <v>1</v>
      </c>
      <c r="HF381" s="5" t="s">
        <v>1</v>
      </c>
      <c r="HG381" s="4" t="s">
        <v>1</v>
      </c>
      <c r="HH381" t="s">
        <v>1</v>
      </c>
      <c r="HI381" t="s">
        <v>1</v>
      </c>
      <c r="HJ381" t="s">
        <v>1</v>
      </c>
      <c r="HK381" t="s">
        <v>815</v>
      </c>
      <c r="HL381" s="35">
        <v>1.6</v>
      </c>
      <c r="HM381">
        <v>0</v>
      </c>
      <c r="HN381">
        <v>15</v>
      </c>
      <c r="HO381" t="s">
        <v>1451</v>
      </c>
      <c r="HP381" s="26" t="s">
        <v>1358</v>
      </c>
      <c r="HZ381" t="s">
        <v>1295</v>
      </c>
      <c r="IA381">
        <v>90</v>
      </c>
      <c r="IB381" s="10" t="s">
        <v>837</v>
      </c>
      <c r="IC381" s="10"/>
      <c r="ID381" s="10"/>
      <c r="IE381" s="10" t="s">
        <v>1312</v>
      </c>
      <c r="IF381" s="10" t="b">
        <v>1</v>
      </c>
      <c r="IG381" s="10"/>
      <c r="IH381" s="10"/>
      <c r="II381" s="10"/>
      <c r="IJ381" s="10"/>
      <c r="IK381" s="10"/>
      <c r="IL381" s="10"/>
      <c r="IM381" s="10"/>
      <c r="IN381" s="10"/>
      <c r="IO381" s="10"/>
      <c r="IP381" s="10"/>
      <c r="IQ381" s="10"/>
      <c r="IR381" s="10"/>
      <c r="IS381" t="s">
        <v>1</v>
      </c>
      <c r="IT381" t="s">
        <v>1</v>
      </c>
      <c r="IW381" t="s">
        <v>1</v>
      </c>
      <c r="IX381" t="s">
        <v>1</v>
      </c>
      <c r="IY381" t="s">
        <v>808</v>
      </c>
      <c r="IZ381">
        <v>4350</v>
      </c>
      <c r="JA381" t="s">
        <v>1065</v>
      </c>
      <c r="JB381" s="3">
        <v>8</v>
      </c>
      <c r="JC381" t="s">
        <v>965</v>
      </c>
      <c r="JD381" s="3">
        <f t="shared" si="53"/>
        <v>28</v>
      </c>
      <c r="JE381" t="s">
        <v>810</v>
      </c>
      <c r="JF381">
        <v>100</v>
      </c>
      <c r="JR381" t="s">
        <v>1066</v>
      </c>
      <c r="JS381">
        <v>91.9</v>
      </c>
      <c r="JU381" t="s">
        <v>1</v>
      </c>
      <c r="JW381" t="s">
        <v>1</v>
      </c>
      <c r="JX381">
        <v>0</v>
      </c>
      <c r="JY381">
        <v>120</v>
      </c>
      <c r="JZ381" t="s">
        <v>800</v>
      </c>
      <c r="KA381" t="s">
        <v>432</v>
      </c>
      <c r="KB381" t="s">
        <v>738</v>
      </c>
      <c r="KC381" t="s">
        <v>1</v>
      </c>
      <c r="KD381" t="s">
        <v>1</v>
      </c>
      <c r="KE381" s="1" t="s">
        <v>1</v>
      </c>
      <c r="KF381" t="s">
        <v>1</v>
      </c>
      <c r="KG381" t="s">
        <v>1</v>
      </c>
      <c r="KH381" t="s">
        <v>1</v>
      </c>
      <c r="KI381" t="s">
        <v>1</v>
      </c>
      <c r="KJ381" t="s">
        <v>1</v>
      </c>
      <c r="KK381" t="s">
        <v>1</v>
      </c>
    </row>
    <row r="382" spans="1:297" x14ac:dyDescent="0.2">
      <c r="A382">
        <v>350</v>
      </c>
      <c r="B382" t="s">
        <v>705</v>
      </c>
      <c r="C382" t="s">
        <v>439</v>
      </c>
      <c r="D382" t="s">
        <v>429</v>
      </c>
      <c r="E382">
        <v>64</v>
      </c>
      <c r="F382" t="s">
        <v>430</v>
      </c>
      <c r="G382" t="s">
        <v>1</v>
      </c>
      <c r="H382" s="26" t="s">
        <v>1420</v>
      </c>
      <c r="I382" t="s">
        <v>1</v>
      </c>
      <c r="J382" t="s">
        <v>1</v>
      </c>
      <c r="K382" t="s">
        <v>1</v>
      </c>
      <c r="L382" t="s">
        <v>1</v>
      </c>
      <c r="M382" t="s">
        <v>1</v>
      </c>
      <c r="N382" t="s">
        <v>1</v>
      </c>
      <c r="O382" t="s">
        <v>1</v>
      </c>
      <c r="P382" t="s">
        <v>1</v>
      </c>
      <c r="Q382" t="s">
        <v>1</v>
      </c>
      <c r="R382" t="s">
        <v>1</v>
      </c>
      <c r="S382" t="s">
        <v>1</v>
      </c>
      <c r="T382" t="s">
        <v>1</v>
      </c>
      <c r="U382" t="s">
        <v>1</v>
      </c>
      <c r="V382" t="s">
        <v>1</v>
      </c>
      <c r="W382" t="s">
        <v>1</v>
      </c>
      <c r="X382" t="s">
        <v>1</v>
      </c>
      <c r="Y382" t="s">
        <v>1</v>
      </c>
      <c r="Z382" t="s">
        <v>1</v>
      </c>
      <c r="AA382" t="s">
        <v>1</v>
      </c>
      <c r="AB382" t="s">
        <v>1</v>
      </c>
      <c r="AC382" t="s">
        <v>1</v>
      </c>
      <c r="AD382" t="s">
        <v>1</v>
      </c>
      <c r="AE382" t="s">
        <v>1</v>
      </c>
      <c r="AF382" t="s">
        <v>1</v>
      </c>
      <c r="AG382" t="s">
        <v>1</v>
      </c>
      <c r="AH382" t="s">
        <v>1</v>
      </c>
      <c r="AI382" t="s">
        <v>1</v>
      </c>
      <c r="AJ382" t="s">
        <v>1</v>
      </c>
      <c r="AK382" t="s">
        <v>1</v>
      </c>
      <c r="AL382" t="s">
        <v>1</v>
      </c>
      <c r="AM382" t="s">
        <v>1</v>
      </c>
      <c r="AN382">
        <v>350</v>
      </c>
      <c r="AO382">
        <f t="shared" si="54"/>
        <v>350</v>
      </c>
      <c r="AP382">
        <f t="shared" si="47"/>
        <v>64</v>
      </c>
      <c r="AQ382">
        <f t="shared" si="48"/>
        <v>64</v>
      </c>
      <c r="AR382" s="26" t="s">
        <v>1355</v>
      </c>
      <c r="AS382" s="26" t="s">
        <v>1356</v>
      </c>
      <c r="AT382" t="s">
        <v>713</v>
      </c>
      <c r="AU382" t="s">
        <v>1</v>
      </c>
      <c r="AV382" t="s">
        <v>1</v>
      </c>
      <c r="AW382">
        <v>45.39</v>
      </c>
      <c r="AX382">
        <v>-93.89</v>
      </c>
      <c r="AY382" t="s">
        <v>737</v>
      </c>
      <c r="BA382" s="3">
        <v>3</v>
      </c>
      <c r="BB382" s="3"/>
      <c r="BC382" s="3"/>
      <c r="BD382" s="3"/>
      <c r="BE382" s="3"/>
      <c r="BF382">
        <v>2007</v>
      </c>
      <c r="BG382" s="24" t="s">
        <v>733</v>
      </c>
      <c r="BH382" s="24" t="s">
        <v>733</v>
      </c>
      <c r="BI382" s="24" t="s">
        <v>733</v>
      </c>
      <c r="BJ382" s="24" t="s">
        <v>732</v>
      </c>
      <c r="BK382" s="24" t="s">
        <v>733</v>
      </c>
      <c r="BL382" s="25" t="s">
        <v>733</v>
      </c>
      <c r="BM382" s="24" t="s">
        <v>733</v>
      </c>
      <c r="BN382" s="24" t="s">
        <v>732</v>
      </c>
      <c r="BO382" s="24" t="s">
        <v>733</v>
      </c>
      <c r="BP382" s="24" t="s">
        <v>733</v>
      </c>
      <c r="BQ382" s="24" t="s">
        <v>945</v>
      </c>
      <c r="BR382" s="24" t="s">
        <v>945</v>
      </c>
      <c r="BS382" s="25" t="s">
        <v>934</v>
      </c>
      <c r="BT382" s="24" t="s">
        <v>934</v>
      </c>
      <c r="BU382" s="24" t="s">
        <v>934</v>
      </c>
      <c r="BV382" s="24" t="s">
        <v>934</v>
      </c>
      <c r="BW382" s="24" t="s">
        <v>934</v>
      </c>
      <c r="BX382" s="24" t="s">
        <v>934</v>
      </c>
      <c r="BY382" s="25" t="s">
        <v>945</v>
      </c>
      <c r="BZ382" t="s">
        <v>22</v>
      </c>
      <c r="CB382" t="s">
        <v>1</v>
      </c>
      <c r="CC382" s="4" t="s">
        <v>1</v>
      </c>
      <c r="CD382" s="4"/>
      <c r="CE382" s="4"/>
      <c r="CF382" t="s">
        <v>1</v>
      </c>
      <c r="CG382" t="s">
        <v>1</v>
      </c>
      <c r="CH382" t="s">
        <v>805</v>
      </c>
      <c r="CI382" s="28">
        <v>0.6</v>
      </c>
      <c r="CJ382" s="10" t="s">
        <v>1443</v>
      </c>
      <c r="CK382" s="9" t="s">
        <v>1</v>
      </c>
      <c r="CL382" s="4" t="s">
        <v>1</v>
      </c>
      <c r="CM382" t="s">
        <v>847</v>
      </c>
      <c r="CN382" s="4">
        <v>228.1</v>
      </c>
      <c r="CO382" s="4" t="s">
        <v>1</v>
      </c>
      <c r="CP382" s="4" t="s">
        <v>1</v>
      </c>
      <c r="CQ382" s="4" t="s">
        <v>1</v>
      </c>
      <c r="CR382" s="4" t="s">
        <v>1</v>
      </c>
      <c r="CS382" s="4" t="s">
        <v>1</v>
      </c>
      <c r="CT382" s="4" t="s">
        <v>1</v>
      </c>
      <c r="CU382" s="4" t="s">
        <v>1</v>
      </c>
      <c r="CV382" t="s">
        <v>852</v>
      </c>
      <c r="CW382">
        <v>100</v>
      </c>
      <c r="CX382">
        <v>0</v>
      </c>
      <c r="CY382">
        <v>15</v>
      </c>
      <c r="CZ382" s="26" t="s">
        <v>1358</v>
      </c>
      <c r="DA382" t="s">
        <v>734</v>
      </c>
      <c r="DB382">
        <v>83</v>
      </c>
      <c r="DC382">
        <v>0</v>
      </c>
      <c r="DD382">
        <v>15</v>
      </c>
      <c r="DE382" s="26" t="s">
        <v>1358</v>
      </c>
      <c r="DF382" t="s">
        <v>735</v>
      </c>
      <c r="DG382">
        <v>9.5</v>
      </c>
      <c r="DH382">
        <v>0</v>
      </c>
      <c r="DI382">
        <v>15</v>
      </c>
      <c r="DJ382" s="26" t="s">
        <v>1358</v>
      </c>
      <c r="DK382" t="s">
        <v>736</v>
      </c>
      <c r="DL382">
        <v>7.5</v>
      </c>
      <c r="DM382">
        <v>0</v>
      </c>
      <c r="DN382">
        <v>15</v>
      </c>
      <c r="DO382" s="26" t="s">
        <v>1358</v>
      </c>
      <c r="DP382" t="s">
        <v>6</v>
      </c>
      <c r="DQ382" t="s">
        <v>1</v>
      </c>
      <c r="DR382">
        <v>6.7</v>
      </c>
      <c r="DS382">
        <v>0</v>
      </c>
      <c r="DT382">
        <v>15</v>
      </c>
      <c r="DU382" s="26" t="s">
        <v>1358</v>
      </c>
      <c r="EA382" t="s">
        <v>982</v>
      </c>
      <c r="EB382">
        <v>11.299999999999999</v>
      </c>
      <c r="EC382">
        <v>0</v>
      </c>
      <c r="ED382">
        <v>15</v>
      </c>
      <c r="EE382" s="26" t="s">
        <v>1358</v>
      </c>
      <c r="EF382" s="26"/>
      <c r="FZ382" t="s">
        <v>806</v>
      </c>
      <c r="GA382">
        <v>485</v>
      </c>
      <c r="GE382" s="26" t="s">
        <v>1358</v>
      </c>
      <c r="HA382" s="10" t="s">
        <v>1</v>
      </c>
      <c r="HB382" s="3" t="s">
        <v>1</v>
      </c>
      <c r="HC382" t="s">
        <v>1</v>
      </c>
      <c r="HD382" t="s">
        <v>1</v>
      </c>
      <c r="HE382" t="s">
        <v>1</v>
      </c>
      <c r="HF382" s="5" t="s">
        <v>1</v>
      </c>
      <c r="HG382" s="4" t="s">
        <v>1</v>
      </c>
      <c r="HH382" t="s">
        <v>1</v>
      </c>
      <c r="HI382" t="s">
        <v>1</v>
      </c>
      <c r="HJ382" t="s">
        <v>1</v>
      </c>
      <c r="HK382" t="s">
        <v>815</v>
      </c>
      <c r="HL382" s="35">
        <v>1.6</v>
      </c>
      <c r="HM382">
        <v>0</v>
      </c>
      <c r="HN382">
        <v>15</v>
      </c>
      <c r="HO382" t="s">
        <v>1451</v>
      </c>
      <c r="HP382" s="26" t="s">
        <v>1358</v>
      </c>
      <c r="HZ382" t="s">
        <v>1295</v>
      </c>
      <c r="IA382">
        <v>180</v>
      </c>
      <c r="IB382" s="10" t="s">
        <v>837</v>
      </c>
      <c r="IC382" s="10"/>
      <c r="ID382" s="10"/>
      <c r="IE382" s="10" t="s">
        <v>1312</v>
      </c>
      <c r="IF382" s="10" t="b">
        <v>1</v>
      </c>
      <c r="IG382" s="10"/>
      <c r="IH382" s="10"/>
      <c r="II382" s="10"/>
      <c r="IJ382" s="10"/>
      <c r="IK382" s="10"/>
      <c r="IL382" s="10"/>
      <c r="IM382" s="10"/>
      <c r="IN382" s="10"/>
      <c r="IO382" s="10"/>
      <c r="IP382" s="10"/>
      <c r="IQ382" s="10"/>
      <c r="IR382" s="10"/>
      <c r="IS382" t="s">
        <v>1</v>
      </c>
      <c r="IT382" t="s">
        <v>1</v>
      </c>
      <c r="IW382" t="s">
        <v>1</v>
      </c>
      <c r="IX382" t="s">
        <v>1</v>
      </c>
      <c r="IY382" t="s">
        <v>808</v>
      </c>
      <c r="IZ382">
        <v>4350</v>
      </c>
      <c r="JA382" t="s">
        <v>1065</v>
      </c>
      <c r="JB382" s="3">
        <v>8</v>
      </c>
      <c r="JC382" t="s">
        <v>965</v>
      </c>
      <c r="JD382" s="3">
        <f t="shared" si="53"/>
        <v>28</v>
      </c>
      <c r="JE382" t="s">
        <v>810</v>
      </c>
      <c r="JF382">
        <v>100</v>
      </c>
      <c r="JR382" t="s">
        <v>1066</v>
      </c>
      <c r="JS382">
        <v>87.3</v>
      </c>
      <c r="JU382" t="s">
        <v>1</v>
      </c>
      <c r="JW382" t="s">
        <v>1</v>
      </c>
      <c r="JX382">
        <v>0</v>
      </c>
      <c r="JY382">
        <v>120</v>
      </c>
      <c r="JZ382" t="s">
        <v>800</v>
      </c>
      <c r="KA382" t="s">
        <v>432</v>
      </c>
      <c r="KB382" t="s">
        <v>738</v>
      </c>
      <c r="KC382" t="s">
        <v>1</v>
      </c>
      <c r="KD382" t="s">
        <v>1</v>
      </c>
      <c r="KE382" s="1" t="s">
        <v>1</v>
      </c>
      <c r="KF382" t="s">
        <v>1</v>
      </c>
      <c r="KG382" t="s">
        <v>1</v>
      </c>
      <c r="KH382" t="s">
        <v>1</v>
      </c>
      <c r="KI382" t="s">
        <v>1</v>
      </c>
      <c r="KJ382" t="s">
        <v>1</v>
      </c>
      <c r="KK382" t="s">
        <v>1</v>
      </c>
    </row>
    <row r="383" spans="1:297" x14ac:dyDescent="0.2">
      <c r="A383">
        <v>351</v>
      </c>
      <c r="B383" t="s">
        <v>705</v>
      </c>
      <c r="C383" t="s">
        <v>440</v>
      </c>
      <c r="D383" t="s">
        <v>429</v>
      </c>
      <c r="E383">
        <v>64</v>
      </c>
      <c r="F383" t="s">
        <v>430</v>
      </c>
      <c r="G383" t="s">
        <v>1</v>
      </c>
      <c r="H383" s="26" t="s">
        <v>1420</v>
      </c>
      <c r="I383" t="s">
        <v>1</v>
      </c>
      <c r="J383" t="s">
        <v>1</v>
      </c>
      <c r="K383" t="s">
        <v>1</v>
      </c>
      <c r="L383" t="s">
        <v>1</v>
      </c>
      <c r="M383" t="s">
        <v>1</v>
      </c>
      <c r="N383" t="s">
        <v>1</v>
      </c>
      <c r="O383" t="s">
        <v>1</v>
      </c>
      <c r="P383" t="s">
        <v>1</v>
      </c>
      <c r="Q383" t="s">
        <v>1</v>
      </c>
      <c r="R383" t="s">
        <v>1</v>
      </c>
      <c r="S383" t="s">
        <v>1</v>
      </c>
      <c r="T383" t="s">
        <v>1</v>
      </c>
      <c r="U383" t="s">
        <v>1</v>
      </c>
      <c r="V383" t="s">
        <v>1</v>
      </c>
      <c r="W383" t="s">
        <v>1</v>
      </c>
      <c r="X383" t="s">
        <v>1</v>
      </c>
      <c r="Y383" t="s">
        <v>1</v>
      </c>
      <c r="Z383" t="s">
        <v>1</v>
      </c>
      <c r="AA383" t="s">
        <v>1</v>
      </c>
      <c r="AB383" t="s">
        <v>1</v>
      </c>
      <c r="AC383" t="s">
        <v>1</v>
      </c>
      <c r="AD383" t="s">
        <v>1</v>
      </c>
      <c r="AE383" t="s">
        <v>1</v>
      </c>
      <c r="AF383" t="s">
        <v>1</v>
      </c>
      <c r="AG383" t="s">
        <v>1</v>
      </c>
      <c r="AH383" t="s">
        <v>1</v>
      </c>
      <c r="AI383" t="s">
        <v>1</v>
      </c>
      <c r="AJ383" t="s">
        <v>1</v>
      </c>
      <c r="AK383" t="s">
        <v>1</v>
      </c>
      <c r="AL383" t="s">
        <v>1</v>
      </c>
      <c r="AM383" t="s">
        <v>1</v>
      </c>
      <c r="AN383">
        <v>351</v>
      </c>
      <c r="AO383">
        <f t="shared" si="54"/>
        <v>351</v>
      </c>
      <c r="AP383">
        <f t="shared" si="47"/>
        <v>64</v>
      </c>
      <c r="AQ383">
        <f t="shared" si="48"/>
        <v>64</v>
      </c>
      <c r="AR383" s="26" t="s">
        <v>1355</v>
      </c>
      <c r="AS383" s="26" t="s">
        <v>1356</v>
      </c>
      <c r="AT383" t="s">
        <v>713</v>
      </c>
      <c r="AU383" t="s">
        <v>1</v>
      </c>
      <c r="AV383" t="s">
        <v>1</v>
      </c>
      <c r="AW383">
        <v>45.39</v>
      </c>
      <c r="AX383">
        <v>-93.89</v>
      </c>
      <c r="AY383" t="s">
        <v>737</v>
      </c>
      <c r="BA383" s="3">
        <v>3</v>
      </c>
      <c r="BB383" s="3"/>
      <c r="BC383" s="3"/>
      <c r="BD383" s="3"/>
      <c r="BE383" s="3"/>
      <c r="BF383">
        <v>2007</v>
      </c>
      <c r="BG383" s="24" t="s">
        <v>733</v>
      </c>
      <c r="BH383" s="24" t="s">
        <v>733</v>
      </c>
      <c r="BI383" s="24" t="s">
        <v>733</v>
      </c>
      <c r="BJ383" s="24" t="s">
        <v>732</v>
      </c>
      <c r="BK383" s="24" t="s">
        <v>733</v>
      </c>
      <c r="BL383" s="25" t="s">
        <v>733</v>
      </c>
      <c r="BM383" s="24" t="s">
        <v>733</v>
      </c>
      <c r="BN383" s="24" t="s">
        <v>732</v>
      </c>
      <c r="BO383" s="24" t="s">
        <v>733</v>
      </c>
      <c r="BP383" s="24" t="s">
        <v>733</v>
      </c>
      <c r="BQ383" s="24" t="s">
        <v>945</v>
      </c>
      <c r="BR383" s="24" t="s">
        <v>945</v>
      </c>
      <c r="BS383" s="25" t="s">
        <v>934</v>
      </c>
      <c r="BT383" s="24" t="s">
        <v>934</v>
      </c>
      <c r="BU383" s="24" t="s">
        <v>934</v>
      </c>
      <c r="BV383" s="24" t="s">
        <v>934</v>
      </c>
      <c r="BW383" s="24" t="s">
        <v>934</v>
      </c>
      <c r="BX383" s="24" t="s">
        <v>934</v>
      </c>
      <c r="BY383" s="25" t="s">
        <v>945</v>
      </c>
      <c r="BZ383" t="s">
        <v>22</v>
      </c>
      <c r="CB383" t="s">
        <v>1</v>
      </c>
      <c r="CC383" s="4" t="s">
        <v>1</v>
      </c>
      <c r="CD383" s="4"/>
      <c r="CE383" s="4"/>
      <c r="CF383" t="s">
        <v>1</v>
      </c>
      <c r="CG383" t="s">
        <v>1</v>
      </c>
      <c r="CH383" t="s">
        <v>805</v>
      </c>
      <c r="CI383" s="28">
        <v>0.6</v>
      </c>
      <c r="CJ383" s="10" t="s">
        <v>1443</v>
      </c>
      <c r="CK383" s="9" t="s">
        <v>1</v>
      </c>
      <c r="CL383" s="4" t="s">
        <v>1</v>
      </c>
      <c r="CM383" t="s">
        <v>847</v>
      </c>
      <c r="CN383" s="4">
        <v>262.10000000000002</v>
      </c>
      <c r="CO383" s="4" t="s">
        <v>1</v>
      </c>
      <c r="CP383" s="4" t="s">
        <v>1</v>
      </c>
      <c r="CQ383" s="4" t="s">
        <v>1</v>
      </c>
      <c r="CR383" s="4" t="s">
        <v>1</v>
      </c>
      <c r="CS383" s="4" t="s">
        <v>1</v>
      </c>
      <c r="CT383" s="4" t="s">
        <v>1</v>
      </c>
      <c r="CU383" s="4" t="s">
        <v>1</v>
      </c>
      <c r="CV383" t="s">
        <v>852</v>
      </c>
      <c r="CW383">
        <v>100</v>
      </c>
      <c r="CX383">
        <v>0</v>
      </c>
      <c r="CY383">
        <v>15</v>
      </c>
      <c r="CZ383" s="26" t="s">
        <v>1358</v>
      </c>
      <c r="DA383" t="s">
        <v>734</v>
      </c>
      <c r="DB383">
        <v>83</v>
      </c>
      <c r="DC383">
        <v>0</v>
      </c>
      <c r="DD383">
        <v>15</v>
      </c>
      <c r="DE383" s="26" t="s">
        <v>1358</v>
      </c>
      <c r="DF383" t="s">
        <v>735</v>
      </c>
      <c r="DG383">
        <v>9.5</v>
      </c>
      <c r="DH383">
        <v>0</v>
      </c>
      <c r="DI383">
        <v>15</v>
      </c>
      <c r="DJ383" s="26" t="s">
        <v>1358</v>
      </c>
      <c r="DK383" t="s">
        <v>736</v>
      </c>
      <c r="DL383">
        <v>7.5</v>
      </c>
      <c r="DM383">
        <v>0</v>
      </c>
      <c r="DN383">
        <v>15</v>
      </c>
      <c r="DO383" s="26" t="s">
        <v>1358</v>
      </c>
      <c r="DP383" t="s">
        <v>6</v>
      </c>
      <c r="DQ383" t="s">
        <v>1</v>
      </c>
      <c r="DR383">
        <v>6.7</v>
      </c>
      <c r="DS383">
        <v>0</v>
      </c>
      <c r="DT383">
        <v>15</v>
      </c>
      <c r="DU383" s="26" t="s">
        <v>1358</v>
      </c>
      <c r="EA383" t="s">
        <v>982</v>
      </c>
      <c r="EB383">
        <v>11.299999999999999</v>
      </c>
      <c r="EC383">
        <v>0</v>
      </c>
      <c r="ED383">
        <v>15</v>
      </c>
      <c r="EE383" s="26" t="s">
        <v>1358</v>
      </c>
      <c r="EF383" s="26"/>
      <c r="FZ383" t="s">
        <v>806</v>
      </c>
      <c r="GA383">
        <v>485</v>
      </c>
      <c r="GE383" s="26" t="s">
        <v>1358</v>
      </c>
      <c r="HA383" s="10" t="s">
        <v>1</v>
      </c>
      <c r="HB383" s="3" t="s">
        <v>1</v>
      </c>
      <c r="HC383" t="s">
        <v>1</v>
      </c>
      <c r="HD383" t="s">
        <v>1</v>
      </c>
      <c r="HE383" t="s">
        <v>1</v>
      </c>
      <c r="HF383" s="5" t="s">
        <v>1</v>
      </c>
      <c r="HG383" s="4" t="s">
        <v>1</v>
      </c>
      <c r="HH383" t="s">
        <v>1</v>
      </c>
      <c r="HI383" t="s">
        <v>1</v>
      </c>
      <c r="HJ383" t="s">
        <v>1</v>
      </c>
      <c r="HK383" t="s">
        <v>815</v>
      </c>
      <c r="HL383" s="35">
        <v>1.6</v>
      </c>
      <c r="HM383">
        <v>0</v>
      </c>
      <c r="HN383">
        <v>15</v>
      </c>
      <c r="HO383" t="s">
        <v>1451</v>
      </c>
      <c r="HP383" s="26" t="s">
        <v>1358</v>
      </c>
      <c r="HZ383" t="s">
        <v>1295</v>
      </c>
      <c r="IA383">
        <v>270</v>
      </c>
      <c r="IB383" s="10" t="s">
        <v>837</v>
      </c>
      <c r="IC383" s="10"/>
      <c r="ID383" s="10"/>
      <c r="IE383" s="10" t="s">
        <v>1312</v>
      </c>
      <c r="IF383" s="10" t="b">
        <v>1</v>
      </c>
      <c r="IG383" s="10"/>
      <c r="IH383" s="10"/>
      <c r="II383" s="10"/>
      <c r="IJ383" s="10"/>
      <c r="IK383" s="10"/>
      <c r="IL383" s="10"/>
      <c r="IM383" s="10"/>
      <c r="IN383" s="10"/>
      <c r="IO383" s="10"/>
      <c r="IP383" s="10"/>
      <c r="IQ383" s="10"/>
      <c r="IR383" s="10"/>
      <c r="IS383" t="s">
        <v>1</v>
      </c>
      <c r="IT383" t="s">
        <v>1</v>
      </c>
      <c r="IW383" t="s">
        <v>1</v>
      </c>
      <c r="IX383" t="s">
        <v>1</v>
      </c>
      <c r="IY383" t="s">
        <v>808</v>
      </c>
      <c r="IZ383">
        <v>4350</v>
      </c>
      <c r="JA383" t="s">
        <v>1065</v>
      </c>
      <c r="JB383" s="3">
        <v>8</v>
      </c>
      <c r="JC383" t="s">
        <v>965</v>
      </c>
      <c r="JD383" s="3">
        <f t="shared" si="53"/>
        <v>28</v>
      </c>
      <c r="JE383" t="s">
        <v>810</v>
      </c>
      <c r="JF383">
        <v>100</v>
      </c>
      <c r="JR383" t="s">
        <v>1066</v>
      </c>
      <c r="JS383">
        <v>89.7</v>
      </c>
      <c r="JU383" t="s">
        <v>1</v>
      </c>
      <c r="JW383" t="s">
        <v>1</v>
      </c>
      <c r="JX383">
        <v>0</v>
      </c>
      <c r="JY383">
        <v>120</v>
      </c>
      <c r="JZ383" t="s">
        <v>800</v>
      </c>
      <c r="KA383" t="s">
        <v>432</v>
      </c>
      <c r="KB383" t="s">
        <v>738</v>
      </c>
      <c r="KC383" t="s">
        <v>1</v>
      </c>
      <c r="KD383" t="s">
        <v>1</v>
      </c>
      <c r="KE383" s="1" t="s">
        <v>1</v>
      </c>
      <c r="KF383" t="s">
        <v>1</v>
      </c>
      <c r="KG383" t="s">
        <v>1</v>
      </c>
      <c r="KH383" t="s">
        <v>1</v>
      </c>
      <c r="KI383" t="s">
        <v>1</v>
      </c>
      <c r="KJ383" t="s">
        <v>1</v>
      </c>
      <c r="KK383" t="s">
        <v>1</v>
      </c>
    </row>
    <row r="384" spans="1:297" x14ac:dyDescent="0.2">
      <c r="A384">
        <v>352</v>
      </c>
      <c r="B384" t="s">
        <v>705</v>
      </c>
      <c r="C384" t="s">
        <v>441</v>
      </c>
      <c r="D384" t="s">
        <v>429</v>
      </c>
      <c r="E384">
        <v>64</v>
      </c>
      <c r="F384" t="s">
        <v>430</v>
      </c>
      <c r="G384" t="s">
        <v>1</v>
      </c>
      <c r="H384" s="26" t="s">
        <v>1420</v>
      </c>
      <c r="I384" t="s">
        <v>1</v>
      </c>
      <c r="J384" t="s">
        <v>1</v>
      </c>
      <c r="K384" t="s">
        <v>1</v>
      </c>
      <c r="L384" t="s">
        <v>1</v>
      </c>
      <c r="M384" t="s">
        <v>1</v>
      </c>
      <c r="N384" t="s">
        <v>1</v>
      </c>
      <c r="O384" t="s">
        <v>1</v>
      </c>
      <c r="P384" t="s">
        <v>1</v>
      </c>
      <c r="Q384" t="s">
        <v>1</v>
      </c>
      <c r="R384" t="s">
        <v>1</v>
      </c>
      <c r="S384" t="s">
        <v>1</v>
      </c>
      <c r="T384" t="s">
        <v>1</v>
      </c>
      <c r="U384" t="s">
        <v>1</v>
      </c>
      <c r="V384" t="s">
        <v>1</v>
      </c>
      <c r="W384" t="s">
        <v>1</v>
      </c>
      <c r="X384" t="s">
        <v>1</v>
      </c>
      <c r="Y384" t="s">
        <v>1</v>
      </c>
      <c r="Z384" t="s">
        <v>1</v>
      </c>
      <c r="AA384" t="s">
        <v>1</v>
      </c>
      <c r="AB384" t="s">
        <v>1</v>
      </c>
      <c r="AC384" t="s">
        <v>1</v>
      </c>
      <c r="AD384" t="s">
        <v>1</v>
      </c>
      <c r="AE384" t="s">
        <v>1</v>
      </c>
      <c r="AF384" t="s">
        <v>1</v>
      </c>
      <c r="AG384" t="s">
        <v>1</v>
      </c>
      <c r="AH384" t="s">
        <v>1</v>
      </c>
      <c r="AI384" t="s">
        <v>1</v>
      </c>
      <c r="AJ384" t="s">
        <v>1</v>
      </c>
      <c r="AK384" t="s">
        <v>1</v>
      </c>
      <c r="AL384" t="s">
        <v>1</v>
      </c>
      <c r="AM384" t="s">
        <v>1</v>
      </c>
      <c r="AN384">
        <v>352</v>
      </c>
      <c r="AO384">
        <f t="shared" si="54"/>
        <v>352</v>
      </c>
      <c r="AP384">
        <f t="shared" si="47"/>
        <v>64</v>
      </c>
      <c r="AQ384">
        <f t="shared" si="48"/>
        <v>64</v>
      </c>
      <c r="AR384" s="26" t="s">
        <v>1355</v>
      </c>
      <c r="AS384" s="26" t="s">
        <v>1356</v>
      </c>
      <c r="AT384" t="s">
        <v>713</v>
      </c>
      <c r="AU384" t="s">
        <v>1</v>
      </c>
      <c r="AV384" t="s">
        <v>1</v>
      </c>
      <c r="AW384">
        <v>45.39</v>
      </c>
      <c r="AX384">
        <v>-93.89</v>
      </c>
      <c r="AY384" t="s">
        <v>737</v>
      </c>
      <c r="BA384" s="3">
        <v>3</v>
      </c>
      <c r="BB384" s="3"/>
      <c r="BC384" s="3"/>
      <c r="BD384" s="3"/>
      <c r="BE384" s="3"/>
      <c r="BF384">
        <v>2007</v>
      </c>
      <c r="BG384" s="24" t="s">
        <v>733</v>
      </c>
      <c r="BH384" s="24" t="s">
        <v>733</v>
      </c>
      <c r="BI384" s="24" t="s">
        <v>733</v>
      </c>
      <c r="BJ384" s="24" t="s">
        <v>732</v>
      </c>
      <c r="BK384" s="24" t="s">
        <v>733</v>
      </c>
      <c r="BL384" s="25" t="s">
        <v>733</v>
      </c>
      <c r="BM384" s="24" t="s">
        <v>733</v>
      </c>
      <c r="BN384" s="24" t="s">
        <v>732</v>
      </c>
      <c r="BO384" s="24" t="s">
        <v>733</v>
      </c>
      <c r="BP384" s="24" t="s">
        <v>733</v>
      </c>
      <c r="BQ384" s="24" t="s">
        <v>945</v>
      </c>
      <c r="BR384" s="24" t="s">
        <v>945</v>
      </c>
      <c r="BS384" s="25" t="s">
        <v>934</v>
      </c>
      <c r="BT384" s="24" t="s">
        <v>934</v>
      </c>
      <c r="BU384" s="24" t="s">
        <v>934</v>
      </c>
      <c r="BV384" s="24" t="s">
        <v>934</v>
      </c>
      <c r="BW384" s="24" t="s">
        <v>934</v>
      </c>
      <c r="BX384" s="24" t="s">
        <v>934</v>
      </c>
      <c r="BY384" s="25" t="s">
        <v>945</v>
      </c>
      <c r="BZ384" t="s">
        <v>22</v>
      </c>
      <c r="CB384" t="s">
        <v>1</v>
      </c>
      <c r="CC384" s="4" t="s">
        <v>1</v>
      </c>
      <c r="CD384" s="4"/>
      <c r="CE384" s="4"/>
      <c r="CF384" t="s">
        <v>1</v>
      </c>
      <c r="CG384" t="s">
        <v>1</v>
      </c>
      <c r="CH384" t="s">
        <v>805</v>
      </c>
      <c r="CI384" s="28">
        <v>0.6</v>
      </c>
      <c r="CJ384" s="10" t="s">
        <v>1443</v>
      </c>
      <c r="CK384" s="9" t="s">
        <v>1</v>
      </c>
      <c r="CL384" s="4" t="s">
        <v>1</v>
      </c>
      <c r="CM384" t="s">
        <v>847</v>
      </c>
      <c r="CN384" s="4">
        <v>290.39999999999998</v>
      </c>
      <c r="CO384" s="4" t="s">
        <v>1</v>
      </c>
      <c r="CP384" s="4" t="s">
        <v>1</v>
      </c>
      <c r="CQ384" s="4" t="s">
        <v>1</v>
      </c>
      <c r="CR384" s="4" t="s">
        <v>1</v>
      </c>
      <c r="CS384" s="4" t="s">
        <v>1</v>
      </c>
      <c r="CT384" s="4" t="s">
        <v>1</v>
      </c>
      <c r="CU384" s="4" t="s">
        <v>1</v>
      </c>
      <c r="CV384" t="s">
        <v>852</v>
      </c>
      <c r="CW384">
        <v>100</v>
      </c>
      <c r="CX384">
        <v>0</v>
      </c>
      <c r="CY384">
        <v>15</v>
      </c>
      <c r="CZ384" s="26" t="s">
        <v>1358</v>
      </c>
      <c r="DA384" t="s">
        <v>734</v>
      </c>
      <c r="DB384">
        <v>83</v>
      </c>
      <c r="DC384">
        <v>0</v>
      </c>
      <c r="DD384">
        <v>15</v>
      </c>
      <c r="DE384" s="26" t="s">
        <v>1358</v>
      </c>
      <c r="DF384" t="s">
        <v>735</v>
      </c>
      <c r="DG384">
        <v>9.5</v>
      </c>
      <c r="DH384">
        <v>0</v>
      </c>
      <c r="DI384">
        <v>15</v>
      </c>
      <c r="DJ384" s="26" t="s">
        <v>1358</v>
      </c>
      <c r="DK384" t="s">
        <v>736</v>
      </c>
      <c r="DL384">
        <v>7.5</v>
      </c>
      <c r="DM384">
        <v>0</v>
      </c>
      <c r="DN384">
        <v>15</v>
      </c>
      <c r="DO384" s="26" t="s">
        <v>1358</v>
      </c>
      <c r="DP384" t="s">
        <v>6</v>
      </c>
      <c r="DQ384" t="s">
        <v>1</v>
      </c>
      <c r="DR384">
        <v>6.7</v>
      </c>
      <c r="DS384">
        <v>0</v>
      </c>
      <c r="DT384">
        <v>15</v>
      </c>
      <c r="DU384" s="26" t="s">
        <v>1358</v>
      </c>
      <c r="EA384" t="s">
        <v>982</v>
      </c>
      <c r="EB384">
        <v>11.299999999999999</v>
      </c>
      <c r="EC384">
        <v>0</v>
      </c>
      <c r="ED384">
        <v>15</v>
      </c>
      <c r="EE384" s="26" t="s">
        <v>1358</v>
      </c>
      <c r="EF384" s="26"/>
      <c r="FZ384" t="s">
        <v>806</v>
      </c>
      <c r="GA384">
        <v>485</v>
      </c>
      <c r="GE384" s="26" t="s">
        <v>1358</v>
      </c>
      <c r="HA384" s="10" t="s">
        <v>1</v>
      </c>
      <c r="HB384" s="3" t="s">
        <v>1</v>
      </c>
      <c r="HC384" t="s">
        <v>1</v>
      </c>
      <c r="HD384" t="s">
        <v>1</v>
      </c>
      <c r="HE384" t="s">
        <v>1</v>
      </c>
      <c r="HF384" s="5" t="s">
        <v>1</v>
      </c>
      <c r="HG384" s="4" t="s">
        <v>1</v>
      </c>
      <c r="HH384" t="s">
        <v>1</v>
      </c>
      <c r="HI384" t="s">
        <v>1</v>
      </c>
      <c r="HJ384" t="s">
        <v>1</v>
      </c>
      <c r="HK384" t="s">
        <v>815</v>
      </c>
      <c r="HL384" s="35">
        <v>1.6</v>
      </c>
      <c r="HM384">
        <v>0</v>
      </c>
      <c r="HN384">
        <v>15</v>
      </c>
      <c r="HO384" t="s">
        <v>1451</v>
      </c>
      <c r="HP384" s="26" t="s">
        <v>1358</v>
      </c>
      <c r="HZ384" t="s">
        <v>1295</v>
      </c>
      <c r="IA384">
        <v>360</v>
      </c>
      <c r="IB384" s="10" t="s">
        <v>837</v>
      </c>
      <c r="IC384" s="10"/>
      <c r="ID384" s="10"/>
      <c r="IE384" s="10" t="s">
        <v>1312</v>
      </c>
      <c r="IF384" s="10" t="b">
        <v>1</v>
      </c>
      <c r="IG384" s="10"/>
      <c r="IH384" s="10"/>
      <c r="II384" s="10"/>
      <c r="IJ384" s="10"/>
      <c r="IK384" s="10"/>
      <c r="IL384" s="10"/>
      <c r="IM384" s="10"/>
      <c r="IN384" s="10"/>
      <c r="IO384" s="10"/>
      <c r="IP384" s="10"/>
      <c r="IQ384" s="10"/>
      <c r="IR384" s="10"/>
      <c r="IS384" t="s">
        <v>1</v>
      </c>
      <c r="IT384" t="s">
        <v>1</v>
      </c>
      <c r="IW384" t="s">
        <v>1</v>
      </c>
      <c r="IX384" t="s">
        <v>1</v>
      </c>
      <c r="IY384" t="s">
        <v>808</v>
      </c>
      <c r="IZ384">
        <v>4350</v>
      </c>
      <c r="JA384" t="s">
        <v>1065</v>
      </c>
      <c r="JB384" s="3">
        <v>8</v>
      </c>
      <c r="JC384" t="s">
        <v>965</v>
      </c>
      <c r="JD384" s="3">
        <f t="shared" si="53"/>
        <v>28</v>
      </c>
      <c r="JE384" t="s">
        <v>810</v>
      </c>
      <c r="JF384">
        <v>100</v>
      </c>
      <c r="JR384" t="s">
        <v>1066</v>
      </c>
      <c r="JS384">
        <v>156.30000000000001</v>
      </c>
      <c r="JU384" t="s">
        <v>1</v>
      </c>
      <c r="JW384" t="s">
        <v>1</v>
      </c>
      <c r="JX384">
        <v>0</v>
      </c>
      <c r="JY384">
        <v>120</v>
      </c>
      <c r="JZ384" t="s">
        <v>800</v>
      </c>
      <c r="KA384" t="s">
        <v>432</v>
      </c>
      <c r="KB384" t="s">
        <v>738</v>
      </c>
      <c r="KC384" t="s">
        <v>1</v>
      </c>
      <c r="KD384" t="s">
        <v>1</v>
      </c>
      <c r="KE384" s="1" t="s">
        <v>1</v>
      </c>
      <c r="KF384" t="s">
        <v>1</v>
      </c>
      <c r="KG384" t="s">
        <v>1</v>
      </c>
      <c r="KH384" t="s">
        <v>1</v>
      </c>
      <c r="KI384" t="s">
        <v>1</v>
      </c>
      <c r="KJ384" t="s">
        <v>1</v>
      </c>
      <c r="KK384" t="s">
        <v>1</v>
      </c>
    </row>
    <row r="385" spans="1:297" x14ac:dyDescent="0.2">
      <c r="A385">
        <v>353</v>
      </c>
      <c r="B385" t="s">
        <v>705</v>
      </c>
      <c r="C385" t="s">
        <v>442</v>
      </c>
      <c r="D385" t="s">
        <v>429</v>
      </c>
      <c r="E385">
        <v>64</v>
      </c>
      <c r="F385" t="s">
        <v>430</v>
      </c>
      <c r="G385" t="s">
        <v>1</v>
      </c>
      <c r="H385" s="26" t="s">
        <v>1420</v>
      </c>
      <c r="I385" t="s">
        <v>1</v>
      </c>
      <c r="J385" t="s">
        <v>1</v>
      </c>
      <c r="K385" t="s">
        <v>1</v>
      </c>
      <c r="L385" t="s">
        <v>1</v>
      </c>
      <c r="M385" t="s">
        <v>1</v>
      </c>
      <c r="N385" t="s">
        <v>1</v>
      </c>
      <c r="O385" t="s">
        <v>1</v>
      </c>
      <c r="P385" t="s">
        <v>1</v>
      </c>
      <c r="Q385" t="s">
        <v>1</v>
      </c>
      <c r="R385" t="s">
        <v>1</v>
      </c>
      <c r="S385" t="s">
        <v>1</v>
      </c>
      <c r="T385" t="s">
        <v>1</v>
      </c>
      <c r="U385" t="s">
        <v>1</v>
      </c>
      <c r="V385" t="s">
        <v>1</v>
      </c>
      <c r="W385" t="s">
        <v>1</v>
      </c>
      <c r="X385" t="s">
        <v>1</v>
      </c>
      <c r="Y385" t="s">
        <v>1</v>
      </c>
      <c r="Z385" t="s">
        <v>1</v>
      </c>
      <c r="AA385" t="s">
        <v>1</v>
      </c>
      <c r="AB385" t="s">
        <v>1</v>
      </c>
      <c r="AC385" t="s">
        <v>1</v>
      </c>
      <c r="AD385" t="s">
        <v>1</v>
      </c>
      <c r="AE385" t="s">
        <v>1</v>
      </c>
      <c r="AF385" t="s">
        <v>1</v>
      </c>
      <c r="AG385" t="s">
        <v>1</v>
      </c>
      <c r="AH385" t="s">
        <v>1</v>
      </c>
      <c r="AI385" t="s">
        <v>1</v>
      </c>
      <c r="AJ385" t="s">
        <v>1</v>
      </c>
      <c r="AK385" t="s">
        <v>1</v>
      </c>
      <c r="AL385" t="s">
        <v>1</v>
      </c>
      <c r="AM385" t="s">
        <v>1</v>
      </c>
      <c r="AN385">
        <v>353</v>
      </c>
      <c r="AO385">
        <f t="shared" si="54"/>
        <v>353</v>
      </c>
      <c r="AP385">
        <f t="shared" si="47"/>
        <v>64</v>
      </c>
      <c r="AQ385">
        <f t="shared" si="48"/>
        <v>64</v>
      </c>
      <c r="AR385" s="26" t="s">
        <v>1355</v>
      </c>
      <c r="AS385" s="26" t="s">
        <v>1356</v>
      </c>
      <c r="AT385" t="s">
        <v>713</v>
      </c>
      <c r="AU385" t="s">
        <v>1</v>
      </c>
      <c r="AV385" t="s">
        <v>1</v>
      </c>
      <c r="AW385">
        <v>45.39</v>
      </c>
      <c r="AX385">
        <v>-93.89</v>
      </c>
      <c r="AY385" t="s">
        <v>737</v>
      </c>
      <c r="BA385" s="3">
        <v>3</v>
      </c>
      <c r="BB385" s="3"/>
      <c r="BC385" s="3"/>
      <c r="BD385" s="3"/>
      <c r="BE385" s="3"/>
      <c r="BF385">
        <v>2007</v>
      </c>
      <c r="BG385" s="24" t="s">
        <v>733</v>
      </c>
      <c r="BH385" s="24" t="s">
        <v>733</v>
      </c>
      <c r="BI385" s="24" t="s">
        <v>733</v>
      </c>
      <c r="BJ385" s="24" t="s">
        <v>732</v>
      </c>
      <c r="BK385" s="24" t="s">
        <v>733</v>
      </c>
      <c r="BL385" s="25" t="s">
        <v>733</v>
      </c>
      <c r="BM385" s="24" t="s">
        <v>733</v>
      </c>
      <c r="BN385" s="24" t="s">
        <v>732</v>
      </c>
      <c r="BO385" s="24" t="s">
        <v>733</v>
      </c>
      <c r="BP385" s="24" t="s">
        <v>733</v>
      </c>
      <c r="BQ385" s="24" t="s">
        <v>945</v>
      </c>
      <c r="BR385" s="24" t="s">
        <v>945</v>
      </c>
      <c r="BS385" s="25" t="s">
        <v>934</v>
      </c>
      <c r="BT385" s="24" t="s">
        <v>934</v>
      </c>
      <c r="BU385" s="24" t="s">
        <v>934</v>
      </c>
      <c r="BV385" s="24" t="s">
        <v>934</v>
      </c>
      <c r="BW385" s="24" t="s">
        <v>934</v>
      </c>
      <c r="BX385" s="24" t="s">
        <v>934</v>
      </c>
      <c r="BY385" s="25" t="s">
        <v>945</v>
      </c>
      <c r="BZ385" t="s">
        <v>22</v>
      </c>
      <c r="CB385" t="s">
        <v>1</v>
      </c>
      <c r="CC385" s="4" t="s">
        <v>1</v>
      </c>
      <c r="CD385" s="4"/>
      <c r="CE385" s="4"/>
      <c r="CF385" t="s">
        <v>1</v>
      </c>
      <c r="CG385" t="s">
        <v>1</v>
      </c>
      <c r="CH385" t="s">
        <v>805</v>
      </c>
      <c r="CI385" s="28">
        <v>0.6</v>
      </c>
      <c r="CJ385" s="10" t="s">
        <v>1443</v>
      </c>
      <c r="CK385" s="9" t="s">
        <v>1</v>
      </c>
      <c r="CL385" s="4" t="s">
        <v>1</v>
      </c>
      <c r="CM385" t="s">
        <v>847</v>
      </c>
      <c r="CN385" s="4">
        <v>234.5</v>
      </c>
      <c r="CO385" s="4" t="s">
        <v>1</v>
      </c>
      <c r="CP385" s="4" t="s">
        <v>1</v>
      </c>
      <c r="CQ385" s="4" t="s">
        <v>1</v>
      </c>
      <c r="CR385" s="4" t="s">
        <v>1</v>
      </c>
      <c r="CS385" s="4" t="s">
        <v>1</v>
      </c>
      <c r="CT385" s="4" t="s">
        <v>1</v>
      </c>
      <c r="CU385" s="4" t="s">
        <v>1</v>
      </c>
      <c r="CV385" t="s">
        <v>852</v>
      </c>
      <c r="CW385">
        <v>100</v>
      </c>
      <c r="CX385">
        <v>0</v>
      </c>
      <c r="CY385">
        <v>15</v>
      </c>
      <c r="CZ385" s="26" t="s">
        <v>1358</v>
      </c>
      <c r="DA385" t="s">
        <v>734</v>
      </c>
      <c r="DB385">
        <v>83</v>
      </c>
      <c r="DC385">
        <v>0</v>
      </c>
      <c r="DD385">
        <v>15</v>
      </c>
      <c r="DE385" s="26" t="s">
        <v>1358</v>
      </c>
      <c r="DF385" t="s">
        <v>735</v>
      </c>
      <c r="DG385">
        <v>9.5</v>
      </c>
      <c r="DH385">
        <v>0</v>
      </c>
      <c r="DI385">
        <v>15</v>
      </c>
      <c r="DJ385" s="26" t="s">
        <v>1358</v>
      </c>
      <c r="DK385" t="s">
        <v>736</v>
      </c>
      <c r="DL385">
        <v>7.5</v>
      </c>
      <c r="DM385">
        <v>0</v>
      </c>
      <c r="DN385">
        <v>15</v>
      </c>
      <c r="DO385" s="26" t="s">
        <v>1358</v>
      </c>
      <c r="DP385" t="s">
        <v>6</v>
      </c>
      <c r="DQ385" t="s">
        <v>1</v>
      </c>
      <c r="DR385">
        <v>6.7</v>
      </c>
      <c r="DS385">
        <v>0</v>
      </c>
      <c r="DT385">
        <v>15</v>
      </c>
      <c r="DU385" s="26" t="s">
        <v>1358</v>
      </c>
      <c r="EA385" t="s">
        <v>982</v>
      </c>
      <c r="EB385">
        <v>11.299999999999999</v>
      </c>
      <c r="EC385">
        <v>0</v>
      </c>
      <c r="ED385">
        <v>15</v>
      </c>
      <c r="EE385" s="26" t="s">
        <v>1358</v>
      </c>
      <c r="EF385" s="26"/>
      <c r="FZ385" t="s">
        <v>806</v>
      </c>
      <c r="GA385">
        <v>485</v>
      </c>
      <c r="GE385" s="26" t="s">
        <v>1358</v>
      </c>
      <c r="HA385" s="10" t="s">
        <v>1</v>
      </c>
      <c r="HB385" s="3" t="s">
        <v>1</v>
      </c>
      <c r="HC385" t="s">
        <v>1</v>
      </c>
      <c r="HD385" t="s">
        <v>1</v>
      </c>
      <c r="HE385" t="s">
        <v>1</v>
      </c>
      <c r="HF385" s="5" t="s">
        <v>1</v>
      </c>
      <c r="HG385" s="4" t="s">
        <v>1</v>
      </c>
      <c r="HH385" t="s">
        <v>1</v>
      </c>
      <c r="HI385" t="s">
        <v>1</v>
      </c>
      <c r="HJ385" t="s">
        <v>1</v>
      </c>
      <c r="HK385" t="s">
        <v>815</v>
      </c>
      <c r="HL385" s="35">
        <v>1.6</v>
      </c>
      <c r="HM385">
        <v>0</v>
      </c>
      <c r="HN385">
        <v>15</v>
      </c>
      <c r="HO385" t="s">
        <v>1451</v>
      </c>
      <c r="HP385" s="26" t="s">
        <v>1358</v>
      </c>
      <c r="HZ385" t="s">
        <v>1295</v>
      </c>
      <c r="IA385">
        <v>270</v>
      </c>
      <c r="IB385" s="10" t="s">
        <v>837</v>
      </c>
      <c r="IC385" s="10"/>
      <c r="ID385" s="10"/>
      <c r="IE385" s="10" t="s">
        <v>1312</v>
      </c>
      <c r="IF385" s="10" t="b">
        <v>1</v>
      </c>
      <c r="IG385" s="10"/>
      <c r="IH385" s="10"/>
      <c r="II385" s="10"/>
      <c r="IJ385" s="10"/>
      <c r="IK385" s="10"/>
      <c r="IL385" s="10"/>
      <c r="IM385" s="10"/>
      <c r="IN385" s="10"/>
      <c r="IO385" s="10"/>
      <c r="IP385" s="10"/>
      <c r="IQ385" s="10"/>
      <c r="IR385" s="10"/>
      <c r="IS385" t="s">
        <v>1</v>
      </c>
      <c r="IT385" t="s">
        <v>1</v>
      </c>
      <c r="IW385" t="s">
        <v>1</v>
      </c>
      <c r="IX385" t="s">
        <v>1</v>
      </c>
      <c r="IY385" t="s">
        <v>808</v>
      </c>
      <c r="IZ385">
        <v>4350</v>
      </c>
      <c r="JA385" t="s">
        <v>1065</v>
      </c>
      <c r="JB385" s="3">
        <v>8</v>
      </c>
      <c r="JC385" t="s">
        <v>965</v>
      </c>
      <c r="JD385" s="3">
        <f t="shared" si="53"/>
        <v>28</v>
      </c>
      <c r="JE385" t="s">
        <v>810</v>
      </c>
      <c r="JF385">
        <v>100</v>
      </c>
      <c r="JR385" t="s">
        <v>1066</v>
      </c>
      <c r="JS385">
        <v>143.30000000000001</v>
      </c>
      <c r="JU385" t="s">
        <v>1</v>
      </c>
      <c r="JW385" t="s">
        <v>1</v>
      </c>
      <c r="JX385">
        <v>0</v>
      </c>
      <c r="JY385">
        <v>120</v>
      </c>
      <c r="JZ385" t="s">
        <v>800</v>
      </c>
      <c r="KA385" t="s">
        <v>432</v>
      </c>
      <c r="KB385" t="s">
        <v>738</v>
      </c>
      <c r="KC385" t="s">
        <v>1</v>
      </c>
      <c r="KD385" t="s">
        <v>1</v>
      </c>
      <c r="KE385" s="1" t="s">
        <v>1</v>
      </c>
      <c r="KF385" t="s">
        <v>1</v>
      </c>
      <c r="KG385" t="s">
        <v>1</v>
      </c>
      <c r="KH385" t="s">
        <v>1</v>
      </c>
      <c r="KI385" t="s">
        <v>1</v>
      </c>
      <c r="KJ385" t="s">
        <v>1</v>
      </c>
      <c r="KK385" t="s">
        <v>1</v>
      </c>
    </row>
    <row r="386" spans="1:297" x14ac:dyDescent="0.2">
      <c r="A386">
        <v>354</v>
      </c>
      <c r="B386" t="s">
        <v>705</v>
      </c>
      <c r="C386" t="s">
        <v>1340</v>
      </c>
      <c r="D386" t="s">
        <v>429</v>
      </c>
      <c r="E386">
        <v>64</v>
      </c>
      <c r="F386" t="s">
        <v>430</v>
      </c>
      <c r="G386" t="s">
        <v>1</v>
      </c>
      <c r="H386" s="26" t="s">
        <v>1420</v>
      </c>
      <c r="I386" t="s">
        <v>1</v>
      </c>
      <c r="J386" t="s">
        <v>1</v>
      </c>
      <c r="K386" t="s">
        <v>1</v>
      </c>
      <c r="L386" t="s">
        <v>1</v>
      </c>
      <c r="M386" t="s">
        <v>1</v>
      </c>
      <c r="N386" t="s">
        <v>1</v>
      </c>
      <c r="O386" t="s">
        <v>1</v>
      </c>
      <c r="P386" t="s">
        <v>1</v>
      </c>
      <c r="Q386" t="s">
        <v>1</v>
      </c>
      <c r="R386" t="s">
        <v>1</v>
      </c>
      <c r="S386" t="s">
        <v>1</v>
      </c>
      <c r="T386" t="s">
        <v>1</v>
      </c>
      <c r="U386" t="s">
        <v>1</v>
      </c>
      <c r="V386" t="s">
        <v>1</v>
      </c>
      <c r="W386" t="s">
        <v>1</v>
      </c>
      <c r="X386" t="s">
        <v>1</v>
      </c>
      <c r="Y386" t="s">
        <v>1</v>
      </c>
      <c r="Z386" t="s">
        <v>1</v>
      </c>
      <c r="AA386" t="s">
        <v>1</v>
      </c>
      <c r="AB386" t="s">
        <v>1</v>
      </c>
      <c r="AC386" t="s">
        <v>1</v>
      </c>
      <c r="AD386" t="s">
        <v>1</v>
      </c>
      <c r="AE386" t="s">
        <v>1</v>
      </c>
      <c r="AF386" t="s">
        <v>1</v>
      </c>
      <c r="AG386" t="s">
        <v>1</v>
      </c>
      <c r="AH386" t="s">
        <v>1</v>
      </c>
      <c r="AI386" t="s">
        <v>1</v>
      </c>
      <c r="AJ386" t="s">
        <v>1</v>
      </c>
      <c r="AK386" t="s">
        <v>1</v>
      </c>
      <c r="AL386" t="s">
        <v>1</v>
      </c>
      <c r="AM386" t="s">
        <v>1</v>
      </c>
      <c r="AN386">
        <v>354</v>
      </c>
      <c r="AO386">
        <f t="shared" si="54"/>
        <v>354</v>
      </c>
      <c r="AP386">
        <f t="shared" ref="AP386:AP449" si="55">E386</f>
        <v>64</v>
      </c>
      <c r="AQ386">
        <f t="shared" ref="AQ386:AQ409" si="56">E386</f>
        <v>64</v>
      </c>
      <c r="AR386" s="26" t="s">
        <v>1355</v>
      </c>
      <c r="AS386" s="26" t="s">
        <v>1356</v>
      </c>
      <c r="AT386" t="s">
        <v>713</v>
      </c>
      <c r="AU386" t="s">
        <v>1</v>
      </c>
      <c r="AV386" t="s">
        <v>1</v>
      </c>
      <c r="AW386">
        <v>45.39</v>
      </c>
      <c r="AX386">
        <v>-93.89</v>
      </c>
      <c r="AY386" t="s">
        <v>737</v>
      </c>
      <c r="BA386" s="3">
        <v>3</v>
      </c>
      <c r="BB386" s="3"/>
      <c r="BC386" s="3"/>
      <c r="BD386" s="3"/>
      <c r="BE386" s="3"/>
      <c r="BF386">
        <v>2007</v>
      </c>
      <c r="BG386" s="24" t="s">
        <v>733</v>
      </c>
      <c r="BH386" s="24" t="s">
        <v>733</v>
      </c>
      <c r="BI386" s="24" t="s">
        <v>733</v>
      </c>
      <c r="BJ386" s="24" t="s">
        <v>732</v>
      </c>
      <c r="BK386" s="24" t="s">
        <v>733</v>
      </c>
      <c r="BL386" s="25" t="s">
        <v>733</v>
      </c>
      <c r="BM386" s="24" t="s">
        <v>733</v>
      </c>
      <c r="BN386" s="24" t="s">
        <v>732</v>
      </c>
      <c r="BO386" s="24" t="s">
        <v>733</v>
      </c>
      <c r="BP386" s="24" t="s">
        <v>733</v>
      </c>
      <c r="BQ386" s="24" t="s">
        <v>945</v>
      </c>
      <c r="BR386" s="24" t="s">
        <v>945</v>
      </c>
      <c r="BS386" s="25" t="s">
        <v>934</v>
      </c>
      <c r="BT386" s="24" t="s">
        <v>934</v>
      </c>
      <c r="BU386" s="24" t="s">
        <v>934</v>
      </c>
      <c r="BV386" s="24" t="s">
        <v>934</v>
      </c>
      <c r="BW386" s="24" t="s">
        <v>934</v>
      </c>
      <c r="BX386" s="24" t="s">
        <v>934</v>
      </c>
      <c r="BY386" s="25" t="s">
        <v>945</v>
      </c>
      <c r="BZ386" t="s">
        <v>22</v>
      </c>
      <c r="CB386" t="s">
        <v>1</v>
      </c>
      <c r="CC386" s="4" t="s">
        <v>1</v>
      </c>
      <c r="CD386" s="4"/>
      <c r="CE386" s="4"/>
      <c r="CF386" t="s">
        <v>1</v>
      </c>
      <c r="CG386" t="s">
        <v>1</v>
      </c>
      <c r="CH386" t="s">
        <v>805</v>
      </c>
      <c r="CI386" s="28">
        <v>0.6</v>
      </c>
      <c r="CJ386" s="10" t="s">
        <v>1443</v>
      </c>
      <c r="CK386" s="9" t="s">
        <v>1</v>
      </c>
      <c r="CL386" s="4" t="s">
        <v>1</v>
      </c>
      <c r="CM386" t="s">
        <v>847</v>
      </c>
      <c r="CN386" s="4">
        <v>282.60000000000002</v>
      </c>
      <c r="CO386" s="4" t="s">
        <v>1</v>
      </c>
      <c r="CP386" s="4" t="s">
        <v>1</v>
      </c>
      <c r="CQ386" s="4" t="s">
        <v>1</v>
      </c>
      <c r="CR386" s="4" t="s">
        <v>1</v>
      </c>
      <c r="CS386" s="4" t="s">
        <v>1</v>
      </c>
      <c r="CT386" s="4" t="s">
        <v>1</v>
      </c>
      <c r="CU386" s="4" t="s">
        <v>1</v>
      </c>
      <c r="CV386" t="s">
        <v>852</v>
      </c>
      <c r="CW386">
        <v>100</v>
      </c>
      <c r="CX386">
        <v>0</v>
      </c>
      <c r="CY386">
        <v>15</v>
      </c>
      <c r="CZ386" s="26" t="s">
        <v>1358</v>
      </c>
      <c r="DA386" t="s">
        <v>734</v>
      </c>
      <c r="DB386">
        <v>83</v>
      </c>
      <c r="DC386">
        <v>0</v>
      </c>
      <c r="DD386">
        <v>15</v>
      </c>
      <c r="DE386" s="26" t="s">
        <v>1358</v>
      </c>
      <c r="DF386" t="s">
        <v>735</v>
      </c>
      <c r="DG386">
        <v>9.5</v>
      </c>
      <c r="DH386">
        <v>0</v>
      </c>
      <c r="DI386">
        <v>15</v>
      </c>
      <c r="DJ386" s="26" t="s">
        <v>1358</v>
      </c>
      <c r="DK386" t="s">
        <v>736</v>
      </c>
      <c r="DL386">
        <v>7.5</v>
      </c>
      <c r="DM386">
        <v>0</v>
      </c>
      <c r="DN386">
        <v>15</v>
      </c>
      <c r="DO386" s="26" t="s">
        <v>1358</v>
      </c>
      <c r="DP386" t="s">
        <v>6</v>
      </c>
      <c r="DQ386" t="s">
        <v>1</v>
      </c>
      <c r="DR386">
        <v>6.7</v>
      </c>
      <c r="DS386">
        <v>0</v>
      </c>
      <c r="DT386">
        <v>15</v>
      </c>
      <c r="DU386" s="26" t="s">
        <v>1358</v>
      </c>
      <c r="EA386" t="s">
        <v>982</v>
      </c>
      <c r="EB386">
        <v>11.299999999999999</v>
      </c>
      <c r="EC386">
        <v>0</v>
      </c>
      <c r="ED386">
        <v>15</v>
      </c>
      <c r="EE386" s="26" t="s">
        <v>1358</v>
      </c>
      <c r="EF386" s="26"/>
      <c r="FZ386" t="s">
        <v>806</v>
      </c>
      <c r="GA386">
        <v>485</v>
      </c>
      <c r="GE386" s="26" t="s">
        <v>1358</v>
      </c>
      <c r="HA386" s="10" t="s">
        <v>1</v>
      </c>
      <c r="HB386" s="3" t="s">
        <v>1</v>
      </c>
      <c r="HC386" t="s">
        <v>1</v>
      </c>
      <c r="HD386" t="s">
        <v>1</v>
      </c>
      <c r="HE386" t="s">
        <v>1</v>
      </c>
      <c r="HF386" s="5" t="s">
        <v>1</v>
      </c>
      <c r="HG386" s="4" t="s">
        <v>1</v>
      </c>
      <c r="HH386" t="s">
        <v>1</v>
      </c>
      <c r="HI386" t="s">
        <v>1</v>
      </c>
      <c r="HJ386" t="s">
        <v>1</v>
      </c>
      <c r="HK386" t="s">
        <v>815</v>
      </c>
      <c r="HL386" s="35">
        <v>1.6</v>
      </c>
      <c r="HM386">
        <v>0</v>
      </c>
      <c r="HN386">
        <v>15</v>
      </c>
      <c r="HO386" t="s">
        <v>1451</v>
      </c>
      <c r="HP386" s="26" t="s">
        <v>1358</v>
      </c>
      <c r="HZ386" t="s">
        <v>1295</v>
      </c>
      <c r="IA386">
        <v>270</v>
      </c>
      <c r="IB386" s="10" t="s">
        <v>837</v>
      </c>
      <c r="IC386" s="10"/>
      <c r="ID386" s="10"/>
      <c r="IE386" s="10" t="s">
        <v>1312</v>
      </c>
      <c r="IF386" s="10" t="b">
        <v>1</v>
      </c>
      <c r="IG386" s="10"/>
      <c r="IH386" s="10"/>
      <c r="II386" s="10"/>
      <c r="IJ386" s="10"/>
      <c r="IK386" s="10"/>
      <c r="IL386" s="10"/>
      <c r="IM386" s="10"/>
      <c r="IN386" s="10"/>
      <c r="IO386" s="10"/>
      <c r="IP386" s="10"/>
      <c r="IQ386" s="10"/>
      <c r="IR386" s="10"/>
      <c r="IS386" t="s">
        <v>1</v>
      </c>
      <c r="IT386" t="s">
        <v>1</v>
      </c>
      <c r="IW386" t="s">
        <v>1</v>
      </c>
      <c r="IX386" t="s">
        <v>1</v>
      </c>
      <c r="IY386" t="s">
        <v>808</v>
      </c>
      <c r="IZ386">
        <v>4350</v>
      </c>
      <c r="JA386" t="s">
        <v>1065</v>
      </c>
      <c r="JB386" s="3">
        <v>8</v>
      </c>
      <c r="JC386" t="s">
        <v>965</v>
      </c>
      <c r="JD386" s="3">
        <f t="shared" si="53"/>
        <v>28</v>
      </c>
      <c r="JE386" t="s">
        <v>810</v>
      </c>
      <c r="JF386">
        <v>100</v>
      </c>
      <c r="JR386" t="s">
        <v>1066</v>
      </c>
      <c r="JS386">
        <v>90.4</v>
      </c>
      <c r="JU386" t="s">
        <v>1</v>
      </c>
      <c r="JW386" t="s">
        <v>1</v>
      </c>
      <c r="JX386">
        <v>0</v>
      </c>
      <c r="JY386">
        <v>120</v>
      </c>
      <c r="JZ386" t="s">
        <v>800</v>
      </c>
      <c r="KA386" t="s">
        <v>432</v>
      </c>
      <c r="KB386" t="s">
        <v>738</v>
      </c>
      <c r="KC386" t="s">
        <v>1</v>
      </c>
      <c r="KD386" t="s">
        <v>1</v>
      </c>
      <c r="KE386" s="1" t="s">
        <v>1</v>
      </c>
      <c r="KF386" t="s">
        <v>1</v>
      </c>
      <c r="KG386" t="s">
        <v>1</v>
      </c>
      <c r="KH386" t="s">
        <v>1</v>
      </c>
      <c r="KI386" t="s">
        <v>1</v>
      </c>
      <c r="KJ386" t="s">
        <v>1</v>
      </c>
      <c r="KK386" t="s">
        <v>1</v>
      </c>
    </row>
    <row r="387" spans="1:297" x14ac:dyDescent="0.2">
      <c r="A387">
        <v>355</v>
      </c>
      <c r="B387" t="s">
        <v>705</v>
      </c>
      <c r="C387" t="s">
        <v>444</v>
      </c>
      <c r="D387" t="s">
        <v>692</v>
      </c>
      <c r="E387">
        <v>65</v>
      </c>
      <c r="F387" t="s">
        <v>443</v>
      </c>
      <c r="G387" t="s">
        <v>1</v>
      </c>
      <c r="H387" s="26" t="s">
        <v>1420</v>
      </c>
      <c r="I387" t="s">
        <v>1</v>
      </c>
      <c r="J387" t="s">
        <v>1</v>
      </c>
      <c r="K387" t="s">
        <v>1</v>
      </c>
      <c r="L387" t="s">
        <v>1</v>
      </c>
      <c r="M387" t="s">
        <v>1</v>
      </c>
      <c r="N387" t="s">
        <v>1</v>
      </c>
      <c r="O387" t="s">
        <v>1</v>
      </c>
      <c r="P387" t="s">
        <v>1</v>
      </c>
      <c r="Q387" t="s">
        <v>1</v>
      </c>
      <c r="R387" t="s">
        <v>1</v>
      </c>
      <c r="S387" t="s">
        <v>1</v>
      </c>
      <c r="T387" t="s">
        <v>1</v>
      </c>
      <c r="U387" t="s">
        <v>1</v>
      </c>
      <c r="V387" t="s">
        <v>1</v>
      </c>
      <c r="W387" t="s">
        <v>1</v>
      </c>
      <c r="X387" t="s">
        <v>1</v>
      </c>
      <c r="Y387" t="s">
        <v>1</v>
      </c>
      <c r="Z387" t="s">
        <v>1</v>
      </c>
      <c r="AA387" t="s">
        <v>1</v>
      </c>
      <c r="AB387" t="s">
        <v>1</v>
      </c>
      <c r="AC387" t="s">
        <v>1</v>
      </c>
      <c r="AD387" t="s">
        <v>1</v>
      </c>
      <c r="AE387" t="s">
        <v>1</v>
      </c>
      <c r="AF387" t="s">
        <v>1</v>
      </c>
      <c r="AG387" t="s">
        <v>1</v>
      </c>
      <c r="AH387" t="s">
        <v>1</v>
      </c>
      <c r="AI387" t="s">
        <v>1</v>
      </c>
      <c r="AJ387" t="s">
        <v>1</v>
      </c>
      <c r="AK387" t="s">
        <v>1</v>
      </c>
      <c r="AL387" t="s">
        <v>1</v>
      </c>
      <c r="AM387" t="s">
        <v>1</v>
      </c>
      <c r="AN387">
        <v>355</v>
      </c>
      <c r="AO387">
        <f t="shared" si="54"/>
        <v>355</v>
      </c>
      <c r="AP387">
        <f t="shared" si="55"/>
        <v>65</v>
      </c>
      <c r="AQ387">
        <f t="shared" si="56"/>
        <v>65</v>
      </c>
      <c r="AR387" s="26" t="s">
        <v>1355</v>
      </c>
      <c r="AS387" s="26" t="s">
        <v>1356</v>
      </c>
      <c r="AT387" t="s">
        <v>729</v>
      </c>
      <c r="AU387" t="s">
        <v>1</v>
      </c>
      <c r="AV387" t="s">
        <v>1</v>
      </c>
      <c r="AW387">
        <v>12.27</v>
      </c>
      <c r="AX387">
        <v>-2.15</v>
      </c>
      <c r="AY387" t="s">
        <v>737</v>
      </c>
      <c r="BA387" s="3">
        <v>2</v>
      </c>
      <c r="BB387" s="3"/>
      <c r="BC387" s="3"/>
      <c r="BD387" s="3"/>
      <c r="BE387" s="3"/>
      <c r="BF387">
        <v>2002</v>
      </c>
      <c r="BG387" s="24" t="s">
        <v>733</v>
      </c>
      <c r="BH387" s="24" t="s">
        <v>733</v>
      </c>
      <c r="BI387" s="24" t="s">
        <v>733</v>
      </c>
      <c r="BJ387" s="24" t="s">
        <v>732</v>
      </c>
      <c r="BK387" s="24" t="s">
        <v>733</v>
      </c>
      <c r="BL387" s="25" t="s">
        <v>733</v>
      </c>
      <c r="BM387" s="24" t="s">
        <v>733</v>
      </c>
      <c r="BN387" s="24" t="s">
        <v>732</v>
      </c>
      <c r="BO387" s="24" t="s">
        <v>733</v>
      </c>
      <c r="BP387" s="24" t="s">
        <v>733</v>
      </c>
      <c r="BQ387" s="24" t="s">
        <v>945</v>
      </c>
      <c r="BR387" s="24" t="s">
        <v>945</v>
      </c>
      <c r="BS387" s="25" t="s">
        <v>934</v>
      </c>
      <c r="BT387" s="24" t="s">
        <v>934</v>
      </c>
      <c r="BU387" s="24" t="s">
        <v>934</v>
      </c>
      <c r="BV387" s="24" t="s">
        <v>934</v>
      </c>
      <c r="BW387" s="24" t="s">
        <v>934</v>
      </c>
      <c r="BX387" s="24" t="s">
        <v>934</v>
      </c>
      <c r="BY387" s="25" t="s">
        <v>945</v>
      </c>
      <c r="BZ387" t="s">
        <v>445</v>
      </c>
      <c r="CB387" t="s">
        <v>1</v>
      </c>
      <c r="CC387" s="4" t="s">
        <v>1</v>
      </c>
      <c r="CD387" s="4"/>
      <c r="CE387" s="4"/>
      <c r="CF387" t="s">
        <v>1</v>
      </c>
      <c r="CG387" t="s">
        <v>1</v>
      </c>
      <c r="CH387" t="s">
        <v>805</v>
      </c>
      <c r="CI387" s="28">
        <v>1.8</v>
      </c>
      <c r="CJ387" s="10" t="s">
        <v>1442</v>
      </c>
      <c r="CK387" s="9" t="s">
        <v>1</v>
      </c>
      <c r="CL387" s="4" t="s">
        <v>1</v>
      </c>
      <c r="CM387" t="s">
        <v>847</v>
      </c>
      <c r="CN387" s="4">
        <f>AVERAGE(47,48,48)</f>
        <v>47.666666666666664</v>
      </c>
      <c r="CO387" s="4" t="s">
        <v>1</v>
      </c>
      <c r="CP387" s="4" t="s">
        <v>1</v>
      </c>
      <c r="CQ387" s="4" t="s">
        <v>1</v>
      </c>
      <c r="CR387" s="4" t="s">
        <v>1</v>
      </c>
      <c r="CS387" s="4" t="s">
        <v>1</v>
      </c>
      <c r="CT387" s="4" t="s">
        <v>1</v>
      </c>
      <c r="CU387" s="4" t="s">
        <v>1</v>
      </c>
      <c r="CV387" s="37" t="s">
        <v>855</v>
      </c>
      <c r="CW387">
        <v>100</v>
      </c>
      <c r="CX387">
        <v>0</v>
      </c>
      <c r="CY387">
        <v>30</v>
      </c>
      <c r="CZ387" s="26" t="s">
        <v>1358</v>
      </c>
      <c r="DA387" t="s">
        <v>734</v>
      </c>
      <c r="DB387">
        <v>62</v>
      </c>
      <c r="DC387">
        <v>0</v>
      </c>
      <c r="DD387">
        <v>30</v>
      </c>
      <c r="DE387" s="26" t="s">
        <v>1358</v>
      </c>
      <c r="DF387" t="s">
        <v>735</v>
      </c>
      <c r="DG387">
        <v>28</v>
      </c>
      <c r="DH387">
        <v>0</v>
      </c>
      <c r="DI387">
        <v>30</v>
      </c>
      <c r="DJ387" s="26" t="s">
        <v>1358</v>
      </c>
      <c r="DK387" t="s">
        <v>736</v>
      </c>
      <c r="DL387">
        <v>10</v>
      </c>
      <c r="DM387">
        <v>0</v>
      </c>
      <c r="DN387">
        <v>30</v>
      </c>
      <c r="DO387" s="26" t="s">
        <v>1358</v>
      </c>
      <c r="DP387" t="s">
        <v>1</v>
      </c>
      <c r="DQ387" t="s">
        <v>1</v>
      </c>
      <c r="DR387" t="s">
        <v>1</v>
      </c>
      <c r="DS387" t="s">
        <v>1</v>
      </c>
      <c r="DT387" t="s">
        <v>1</v>
      </c>
      <c r="DU387" t="s">
        <v>1</v>
      </c>
      <c r="EA387" t="s">
        <v>1</v>
      </c>
      <c r="EB387" t="s">
        <v>1</v>
      </c>
      <c r="EC387" t="s">
        <v>1</v>
      </c>
      <c r="ED387" t="s">
        <v>1</v>
      </c>
      <c r="EE387" t="s">
        <v>1</v>
      </c>
      <c r="FZ387" t="s">
        <v>806</v>
      </c>
      <c r="GA387">
        <v>749.33333330000005</v>
      </c>
      <c r="GE387" s="26" t="s">
        <v>1358</v>
      </c>
      <c r="HA387" s="5" t="s">
        <v>1</v>
      </c>
      <c r="HB387" s="4" t="s">
        <v>1</v>
      </c>
      <c r="HC387" t="s">
        <v>1</v>
      </c>
      <c r="HD387" t="s">
        <v>1</v>
      </c>
      <c r="HE387" t="s">
        <v>1</v>
      </c>
      <c r="HF387" s="5" t="s">
        <v>1</v>
      </c>
      <c r="HG387" s="4" t="s">
        <v>1</v>
      </c>
      <c r="HH387" t="s">
        <v>1</v>
      </c>
      <c r="HI387" t="s">
        <v>1</v>
      </c>
      <c r="HJ387" t="s">
        <v>1</v>
      </c>
      <c r="HK387" t="s">
        <v>1</v>
      </c>
      <c r="HL387" t="s">
        <v>1</v>
      </c>
      <c r="HM387" t="s">
        <v>1</v>
      </c>
      <c r="HN387" t="s">
        <v>1</v>
      </c>
      <c r="HO387" t="s">
        <v>1</v>
      </c>
      <c r="HP387" t="s">
        <v>1</v>
      </c>
      <c r="HZ387" t="s">
        <v>1</v>
      </c>
      <c r="IA387" t="s">
        <v>1</v>
      </c>
      <c r="IB387" s="10" t="s">
        <v>1</v>
      </c>
      <c r="IC387" s="10"/>
      <c r="ID387" s="10"/>
      <c r="IE387" s="10" t="s">
        <v>1</v>
      </c>
      <c r="IF387" s="10" t="s">
        <v>1</v>
      </c>
      <c r="IG387" s="10"/>
      <c r="IH387" s="10"/>
      <c r="II387" s="10"/>
      <c r="IJ387" s="10"/>
      <c r="IK387" s="10"/>
      <c r="IL387" s="10"/>
      <c r="IM387" s="10"/>
      <c r="IN387" s="10"/>
      <c r="IO387" s="10"/>
      <c r="IP387" s="10"/>
      <c r="IQ387" s="10"/>
      <c r="IR387" s="10"/>
      <c r="IS387" t="s">
        <v>1</v>
      </c>
      <c r="IT387" t="s">
        <v>1</v>
      </c>
      <c r="IW387" t="s">
        <v>1</v>
      </c>
      <c r="IX387" t="s">
        <v>1</v>
      </c>
      <c r="IY387" t="s">
        <v>1</v>
      </c>
      <c r="IZ387" t="s">
        <v>1</v>
      </c>
      <c r="JA387" t="s">
        <v>1065</v>
      </c>
      <c r="JB387" s="3">
        <v>5</v>
      </c>
      <c r="JC387" t="s">
        <v>1</v>
      </c>
      <c r="JD387" s="4" t="s">
        <v>1</v>
      </c>
      <c r="JE387" t="s">
        <v>810</v>
      </c>
      <c r="JF387">
        <v>100</v>
      </c>
      <c r="JR387" t="s">
        <v>1066</v>
      </c>
      <c r="JS387">
        <v>13.4</v>
      </c>
      <c r="JU387" t="s">
        <v>1</v>
      </c>
      <c r="JW387" t="s">
        <v>1</v>
      </c>
      <c r="JX387">
        <v>0</v>
      </c>
      <c r="JY387">
        <v>50</v>
      </c>
      <c r="JZ387" t="s">
        <v>800</v>
      </c>
      <c r="KA387" t="s">
        <v>446</v>
      </c>
      <c r="KB387" t="s">
        <v>738</v>
      </c>
      <c r="KC387" t="s">
        <v>1</v>
      </c>
      <c r="KD387" t="s">
        <v>1</v>
      </c>
      <c r="KE387" s="1" t="s">
        <v>1</v>
      </c>
      <c r="KF387" t="s">
        <v>1</v>
      </c>
      <c r="KG387" t="s">
        <v>1</v>
      </c>
      <c r="KH387" t="s">
        <v>1</v>
      </c>
      <c r="KI387" t="s">
        <v>1</v>
      </c>
      <c r="KJ387" t="s">
        <v>1</v>
      </c>
      <c r="KK387" t="s">
        <v>1</v>
      </c>
    </row>
    <row r="388" spans="1:297" x14ac:dyDescent="0.2">
      <c r="A388">
        <v>356</v>
      </c>
      <c r="B388" t="s">
        <v>705</v>
      </c>
      <c r="C388" t="s">
        <v>447</v>
      </c>
      <c r="D388" t="s">
        <v>692</v>
      </c>
      <c r="E388">
        <v>65</v>
      </c>
      <c r="F388" t="s">
        <v>443</v>
      </c>
      <c r="G388" t="s">
        <v>1</v>
      </c>
      <c r="H388" s="26" t="s">
        <v>1420</v>
      </c>
      <c r="I388" t="s">
        <v>1</v>
      </c>
      <c r="J388" t="s">
        <v>1</v>
      </c>
      <c r="K388" t="s">
        <v>1</v>
      </c>
      <c r="L388" t="s">
        <v>1</v>
      </c>
      <c r="M388" t="s">
        <v>1</v>
      </c>
      <c r="N388" t="s">
        <v>1</v>
      </c>
      <c r="O388" t="s">
        <v>1</v>
      </c>
      <c r="P388" t="s">
        <v>1</v>
      </c>
      <c r="Q388" t="s">
        <v>1</v>
      </c>
      <c r="R388" t="s">
        <v>1</v>
      </c>
      <c r="S388" t="s">
        <v>1</v>
      </c>
      <c r="T388" t="s">
        <v>1</v>
      </c>
      <c r="U388" t="s">
        <v>1</v>
      </c>
      <c r="V388" t="s">
        <v>1</v>
      </c>
      <c r="W388" t="s">
        <v>1</v>
      </c>
      <c r="X388" t="s">
        <v>1</v>
      </c>
      <c r="Y388" t="s">
        <v>1</v>
      </c>
      <c r="Z388" t="s">
        <v>1</v>
      </c>
      <c r="AA388" t="s">
        <v>1</v>
      </c>
      <c r="AB388" t="s">
        <v>1</v>
      </c>
      <c r="AC388" t="s">
        <v>1</v>
      </c>
      <c r="AD388" t="s">
        <v>1</v>
      </c>
      <c r="AE388" t="s">
        <v>1</v>
      </c>
      <c r="AF388" t="s">
        <v>1</v>
      </c>
      <c r="AG388" t="s">
        <v>1</v>
      </c>
      <c r="AH388" t="s">
        <v>1</v>
      </c>
      <c r="AI388" t="s">
        <v>1</v>
      </c>
      <c r="AJ388" t="s">
        <v>1</v>
      </c>
      <c r="AK388" t="s">
        <v>1</v>
      </c>
      <c r="AL388" t="s">
        <v>1</v>
      </c>
      <c r="AM388" t="s">
        <v>1</v>
      </c>
      <c r="AN388">
        <v>356</v>
      </c>
      <c r="AO388">
        <f t="shared" si="54"/>
        <v>356</v>
      </c>
      <c r="AP388">
        <f t="shared" si="55"/>
        <v>65</v>
      </c>
      <c r="AQ388">
        <f t="shared" si="56"/>
        <v>65</v>
      </c>
      <c r="AR388" s="26" t="s">
        <v>1355</v>
      </c>
      <c r="AS388" s="26" t="s">
        <v>1356</v>
      </c>
      <c r="AT388" t="s">
        <v>729</v>
      </c>
      <c r="AU388" t="s">
        <v>1</v>
      </c>
      <c r="AV388" t="s">
        <v>1</v>
      </c>
      <c r="AW388">
        <v>12.27</v>
      </c>
      <c r="AX388">
        <v>-2.15</v>
      </c>
      <c r="AY388" t="s">
        <v>737</v>
      </c>
      <c r="BA388" s="3">
        <v>2</v>
      </c>
      <c r="BB388" s="3"/>
      <c r="BC388" s="3"/>
      <c r="BD388" s="3"/>
      <c r="BE388" s="3"/>
      <c r="BF388">
        <v>2002</v>
      </c>
      <c r="BG388" s="24" t="s">
        <v>733</v>
      </c>
      <c r="BH388" s="24" t="s">
        <v>733</v>
      </c>
      <c r="BI388" s="24" t="s">
        <v>733</v>
      </c>
      <c r="BJ388" s="24" t="s">
        <v>732</v>
      </c>
      <c r="BK388" s="24" t="s">
        <v>733</v>
      </c>
      <c r="BL388" s="25" t="s">
        <v>733</v>
      </c>
      <c r="BM388" s="24" t="s">
        <v>733</v>
      </c>
      <c r="BN388" s="24" t="s">
        <v>732</v>
      </c>
      <c r="BO388" s="24" t="s">
        <v>733</v>
      </c>
      <c r="BP388" s="24" t="s">
        <v>733</v>
      </c>
      <c r="BQ388" s="24" t="s">
        <v>945</v>
      </c>
      <c r="BR388" s="24" t="s">
        <v>945</v>
      </c>
      <c r="BS388" s="25" t="s">
        <v>934</v>
      </c>
      <c r="BT388" s="24" t="s">
        <v>934</v>
      </c>
      <c r="BU388" s="24" t="s">
        <v>934</v>
      </c>
      <c r="BV388" s="24" t="s">
        <v>934</v>
      </c>
      <c r="BW388" s="24" t="s">
        <v>934</v>
      </c>
      <c r="BX388" s="24" t="s">
        <v>934</v>
      </c>
      <c r="BY388" s="25" t="s">
        <v>945</v>
      </c>
      <c r="BZ388" t="s">
        <v>445</v>
      </c>
      <c r="CB388" t="s">
        <v>1</v>
      </c>
      <c r="CC388" s="4" t="s">
        <v>1</v>
      </c>
      <c r="CD388" s="4"/>
      <c r="CE388" s="4"/>
      <c r="CF388" t="s">
        <v>1</v>
      </c>
      <c r="CG388" t="s">
        <v>1</v>
      </c>
      <c r="CH388" t="s">
        <v>805</v>
      </c>
      <c r="CI388" s="28">
        <v>1.8</v>
      </c>
      <c r="CJ388" s="10" t="s">
        <v>1442</v>
      </c>
      <c r="CK388" s="9" t="s">
        <v>1</v>
      </c>
      <c r="CL388" s="4" t="s">
        <v>1</v>
      </c>
      <c r="CM388" t="s">
        <v>847</v>
      </c>
      <c r="CN388" s="4">
        <f>AVERAGE(77,87,118)</f>
        <v>94</v>
      </c>
      <c r="CO388" s="4" t="s">
        <v>1</v>
      </c>
      <c r="CP388" s="4" t="s">
        <v>1</v>
      </c>
      <c r="CQ388" s="4" t="s">
        <v>1</v>
      </c>
      <c r="CR388" s="4" t="s">
        <v>1</v>
      </c>
      <c r="CS388" s="4" t="s">
        <v>1</v>
      </c>
      <c r="CT388" s="4" t="s">
        <v>1</v>
      </c>
      <c r="CU388" s="4" t="s">
        <v>1</v>
      </c>
      <c r="CV388" s="37" t="s">
        <v>855</v>
      </c>
      <c r="CW388">
        <v>100</v>
      </c>
      <c r="CX388">
        <v>0</v>
      </c>
      <c r="CY388">
        <v>30</v>
      </c>
      <c r="CZ388" s="26" t="s">
        <v>1358</v>
      </c>
      <c r="DA388" t="s">
        <v>734</v>
      </c>
      <c r="DB388">
        <v>62</v>
      </c>
      <c r="DC388">
        <v>0</v>
      </c>
      <c r="DD388">
        <v>30</v>
      </c>
      <c r="DE388" s="26" t="s">
        <v>1358</v>
      </c>
      <c r="DF388" t="s">
        <v>735</v>
      </c>
      <c r="DG388">
        <v>28</v>
      </c>
      <c r="DH388">
        <v>0</v>
      </c>
      <c r="DI388">
        <v>30</v>
      </c>
      <c r="DJ388" s="26" t="s">
        <v>1358</v>
      </c>
      <c r="DK388" t="s">
        <v>736</v>
      </c>
      <c r="DL388">
        <v>10</v>
      </c>
      <c r="DM388">
        <v>0</v>
      </c>
      <c r="DN388">
        <v>30</v>
      </c>
      <c r="DO388" s="26" t="s">
        <v>1358</v>
      </c>
      <c r="DP388" t="s">
        <v>1</v>
      </c>
      <c r="DQ388" t="s">
        <v>1</v>
      </c>
      <c r="DR388" t="s">
        <v>1</v>
      </c>
      <c r="DS388" t="s">
        <v>1</v>
      </c>
      <c r="DT388" t="s">
        <v>1</v>
      </c>
      <c r="DU388" t="s">
        <v>1</v>
      </c>
      <c r="EA388" t="s">
        <v>1</v>
      </c>
      <c r="EB388" t="s">
        <v>1</v>
      </c>
      <c r="EC388" t="s">
        <v>1</v>
      </c>
      <c r="ED388" t="s">
        <v>1</v>
      </c>
      <c r="EE388" t="s">
        <v>1</v>
      </c>
      <c r="FZ388" t="s">
        <v>806</v>
      </c>
      <c r="GA388">
        <v>749.33333330000005</v>
      </c>
      <c r="GE388" s="26" t="s">
        <v>1358</v>
      </c>
      <c r="HA388" s="5" t="s">
        <v>1</v>
      </c>
      <c r="HB388" s="4" t="s">
        <v>1</v>
      </c>
      <c r="HC388" t="s">
        <v>1</v>
      </c>
      <c r="HD388" t="s">
        <v>1</v>
      </c>
      <c r="HE388" t="s">
        <v>1</v>
      </c>
      <c r="HF388" s="5" t="s">
        <v>1</v>
      </c>
      <c r="HG388" s="4" t="s">
        <v>1</v>
      </c>
      <c r="HH388" t="s">
        <v>1</v>
      </c>
      <c r="HI388" t="s">
        <v>1</v>
      </c>
      <c r="HJ388" t="s">
        <v>1</v>
      </c>
      <c r="HK388" t="s">
        <v>1</v>
      </c>
      <c r="HL388" t="s">
        <v>1</v>
      </c>
      <c r="HM388" t="s">
        <v>1</v>
      </c>
      <c r="HN388" t="s">
        <v>1</v>
      </c>
      <c r="HO388" t="s">
        <v>1</v>
      </c>
      <c r="HP388" t="s">
        <v>1</v>
      </c>
      <c r="HZ388" t="s">
        <v>1</v>
      </c>
      <c r="IA388" t="s">
        <v>1</v>
      </c>
      <c r="IB388" s="10" t="s">
        <v>1</v>
      </c>
      <c r="IC388" s="10"/>
      <c r="ID388" s="10"/>
      <c r="IE388" s="10" t="s">
        <v>1</v>
      </c>
      <c r="IF388" s="10" t="s">
        <v>1</v>
      </c>
      <c r="IG388" s="10"/>
      <c r="IH388" s="10"/>
      <c r="II388" s="10"/>
      <c r="IJ388" s="10"/>
      <c r="IK388" s="10"/>
      <c r="IL388" s="10"/>
      <c r="IM388" s="10"/>
      <c r="IN388" s="10"/>
      <c r="IO388" s="10"/>
      <c r="IP388" s="10"/>
      <c r="IQ388" s="10"/>
      <c r="IR388" s="10"/>
      <c r="IS388" t="s">
        <v>978</v>
      </c>
      <c r="IT388">
        <v>50</v>
      </c>
      <c r="IW388" t="s">
        <v>1</v>
      </c>
      <c r="IX388" t="s">
        <v>1</v>
      </c>
      <c r="IY388" t="s">
        <v>1</v>
      </c>
      <c r="IZ388" t="s">
        <v>1</v>
      </c>
      <c r="JA388" t="s">
        <v>1065</v>
      </c>
      <c r="JB388" s="3">
        <v>5</v>
      </c>
      <c r="JC388" t="s">
        <v>1</v>
      </c>
      <c r="JD388" s="4" t="s">
        <v>1</v>
      </c>
      <c r="JE388" t="s">
        <v>810</v>
      </c>
      <c r="JF388">
        <v>100</v>
      </c>
      <c r="JR388" t="s">
        <v>1066</v>
      </c>
      <c r="JS388">
        <v>19.3</v>
      </c>
      <c r="JU388" t="s">
        <v>1</v>
      </c>
      <c r="JW388" t="s">
        <v>1</v>
      </c>
      <c r="JX388">
        <v>0</v>
      </c>
      <c r="JY388">
        <v>50</v>
      </c>
      <c r="JZ388" t="s">
        <v>800</v>
      </c>
      <c r="KA388" t="s">
        <v>446</v>
      </c>
      <c r="KB388" t="s">
        <v>738</v>
      </c>
      <c r="KC388" t="s">
        <v>1</v>
      </c>
      <c r="KD388" t="s">
        <v>1</v>
      </c>
      <c r="KE388" s="1" t="s">
        <v>1</v>
      </c>
      <c r="KF388" t="s">
        <v>1</v>
      </c>
      <c r="KG388" t="s">
        <v>1</v>
      </c>
      <c r="KH388" t="s">
        <v>1</v>
      </c>
      <c r="KI388" t="s">
        <v>1</v>
      </c>
      <c r="KJ388" t="s">
        <v>1</v>
      </c>
      <c r="KK388" t="s">
        <v>1</v>
      </c>
    </row>
    <row r="389" spans="1:297" x14ac:dyDescent="0.2">
      <c r="A389">
        <v>357</v>
      </c>
      <c r="B389" t="s">
        <v>705</v>
      </c>
      <c r="C389" t="s">
        <v>448</v>
      </c>
      <c r="D389" t="s">
        <v>692</v>
      </c>
      <c r="E389">
        <v>65</v>
      </c>
      <c r="F389" t="s">
        <v>443</v>
      </c>
      <c r="G389" t="s">
        <v>1</v>
      </c>
      <c r="H389" s="26" t="s">
        <v>1420</v>
      </c>
      <c r="I389" t="s">
        <v>1</v>
      </c>
      <c r="J389" t="s">
        <v>1</v>
      </c>
      <c r="K389" t="s">
        <v>1</v>
      </c>
      <c r="L389" t="s">
        <v>1</v>
      </c>
      <c r="M389" t="s">
        <v>1</v>
      </c>
      <c r="N389" t="s">
        <v>1</v>
      </c>
      <c r="O389" t="s">
        <v>1</v>
      </c>
      <c r="P389" t="s">
        <v>1</v>
      </c>
      <c r="Q389" t="s">
        <v>1</v>
      </c>
      <c r="R389" t="s">
        <v>1</v>
      </c>
      <c r="S389" t="s">
        <v>1</v>
      </c>
      <c r="T389" t="s">
        <v>1</v>
      </c>
      <c r="U389" t="s">
        <v>1</v>
      </c>
      <c r="V389" t="s">
        <v>1</v>
      </c>
      <c r="W389" t="s">
        <v>1</v>
      </c>
      <c r="X389" t="s">
        <v>1</v>
      </c>
      <c r="Y389" t="s">
        <v>1</v>
      </c>
      <c r="Z389" t="s">
        <v>1</v>
      </c>
      <c r="AA389" t="s">
        <v>1</v>
      </c>
      <c r="AB389" t="s">
        <v>1</v>
      </c>
      <c r="AC389" t="s">
        <v>1</v>
      </c>
      <c r="AD389" t="s">
        <v>1</v>
      </c>
      <c r="AE389" t="s">
        <v>1</v>
      </c>
      <c r="AF389" t="s">
        <v>1</v>
      </c>
      <c r="AG389" t="s">
        <v>1</v>
      </c>
      <c r="AH389" t="s">
        <v>1</v>
      </c>
      <c r="AI389" t="s">
        <v>1</v>
      </c>
      <c r="AJ389" t="s">
        <v>1</v>
      </c>
      <c r="AK389" t="s">
        <v>1</v>
      </c>
      <c r="AL389" t="s">
        <v>1</v>
      </c>
      <c r="AM389" t="s">
        <v>1</v>
      </c>
      <c r="AN389">
        <v>357</v>
      </c>
      <c r="AO389">
        <f t="shared" si="54"/>
        <v>357</v>
      </c>
      <c r="AP389">
        <f t="shared" si="55"/>
        <v>65</v>
      </c>
      <c r="AQ389">
        <f t="shared" si="56"/>
        <v>65</v>
      </c>
      <c r="AR389" s="26" t="s">
        <v>1355</v>
      </c>
      <c r="AS389" s="26" t="s">
        <v>1356</v>
      </c>
      <c r="AT389" t="s">
        <v>729</v>
      </c>
      <c r="AU389" t="s">
        <v>1</v>
      </c>
      <c r="AV389" t="s">
        <v>1</v>
      </c>
      <c r="AW389">
        <v>12.27</v>
      </c>
      <c r="AX389">
        <v>-2.15</v>
      </c>
      <c r="AY389" t="s">
        <v>737</v>
      </c>
      <c r="BA389" s="3">
        <v>2</v>
      </c>
      <c r="BB389" s="3"/>
      <c r="BC389" s="3"/>
      <c r="BD389" s="3"/>
      <c r="BE389" s="3"/>
      <c r="BF389">
        <v>2002</v>
      </c>
      <c r="BG389" s="24" t="s">
        <v>733</v>
      </c>
      <c r="BH389" s="24" t="s">
        <v>733</v>
      </c>
      <c r="BI389" s="24" t="s">
        <v>733</v>
      </c>
      <c r="BJ389" s="24" t="s">
        <v>732</v>
      </c>
      <c r="BK389" s="24" t="s">
        <v>733</v>
      </c>
      <c r="BL389" s="25" t="s">
        <v>733</v>
      </c>
      <c r="BM389" s="24" t="s">
        <v>733</v>
      </c>
      <c r="BN389" s="24" t="s">
        <v>732</v>
      </c>
      <c r="BO389" s="24" t="s">
        <v>733</v>
      </c>
      <c r="BP389" s="24" t="s">
        <v>733</v>
      </c>
      <c r="BQ389" s="24" t="s">
        <v>945</v>
      </c>
      <c r="BR389" s="24" t="s">
        <v>945</v>
      </c>
      <c r="BS389" s="25" t="s">
        <v>934</v>
      </c>
      <c r="BT389" s="24" t="s">
        <v>934</v>
      </c>
      <c r="BU389" s="24" t="s">
        <v>934</v>
      </c>
      <c r="BV389" s="24" t="s">
        <v>934</v>
      </c>
      <c r="BW389" s="24" t="s">
        <v>934</v>
      </c>
      <c r="BX389" s="24" t="s">
        <v>934</v>
      </c>
      <c r="BY389" s="25" t="s">
        <v>945</v>
      </c>
      <c r="BZ389" t="s">
        <v>445</v>
      </c>
      <c r="CB389" t="s">
        <v>1</v>
      </c>
      <c r="CC389" s="4" t="s">
        <v>1</v>
      </c>
      <c r="CD389" s="4"/>
      <c r="CE389" s="4"/>
      <c r="CF389" t="s">
        <v>1</v>
      </c>
      <c r="CG389" t="s">
        <v>1</v>
      </c>
      <c r="CH389" t="s">
        <v>805</v>
      </c>
      <c r="CI389" s="28">
        <v>1.8</v>
      </c>
      <c r="CJ389" s="10" t="s">
        <v>1442</v>
      </c>
      <c r="CK389" s="9" t="s">
        <v>1</v>
      </c>
      <c r="CL389" s="4" t="s">
        <v>1</v>
      </c>
      <c r="CM389" t="s">
        <v>847</v>
      </c>
      <c r="CN389" s="4">
        <f>AVERAGE(86,94,93)</f>
        <v>91</v>
      </c>
      <c r="CO389" s="4" t="s">
        <v>1</v>
      </c>
      <c r="CP389" s="4" t="s">
        <v>1</v>
      </c>
      <c r="CQ389" s="4" t="s">
        <v>1</v>
      </c>
      <c r="CR389" s="4" t="s">
        <v>1</v>
      </c>
      <c r="CS389" s="4" t="s">
        <v>1</v>
      </c>
      <c r="CT389" s="4" t="s">
        <v>1</v>
      </c>
      <c r="CU389" s="4" t="s">
        <v>1</v>
      </c>
      <c r="CV389" s="37" t="s">
        <v>855</v>
      </c>
      <c r="CW389">
        <v>100</v>
      </c>
      <c r="CX389">
        <v>0</v>
      </c>
      <c r="CY389">
        <v>30</v>
      </c>
      <c r="CZ389" s="26" t="s">
        <v>1358</v>
      </c>
      <c r="DA389" t="s">
        <v>734</v>
      </c>
      <c r="DB389">
        <v>62</v>
      </c>
      <c r="DC389">
        <v>0</v>
      </c>
      <c r="DD389">
        <v>30</v>
      </c>
      <c r="DE389" s="26" t="s">
        <v>1358</v>
      </c>
      <c r="DF389" t="s">
        <v>735</v>
      </c>
      <c r="DG389">
        <v>28</v>
      </c>
      <c r="DH389">
        <v>0</v>
      </c>
      <c r="DI389">
        <v>30</v>
      </c>
      <c r="DJ389" s="26" t="s">
        <v>1358</v>
      </c>
      <c r="DK389" t="s">
        <v>736</v>
      </c>
      <c r="DL389">
        <v>10</v>
      </c>
      <c r="DM389">
        <v>0</v>
      </c>
      <c r="DN389">
        <v>30</v>
      </c>
      <c r="DO389" s="26" t="s">
        <v>1358</v>
      </c>
      <c r="DP389" t="s">
        <v>1</v>
      </c>
      <c r="DQ389" t="s">
        <v>1</v>
      </c>
      <c r="DR389" t="s">
        <v>1</v>
      </c>
      <c r="DS389" t="s">
        <v>1</v>
      </c>
      <c r="DT389" t="s">
        <v>1</v>
      </c>
      <c r="DU389" t="s">
        <v>1</v>
      </c>
      <c r="EA389" t="s">
        <v>1</v>
      </c>
      <c r="EB389" t="s">
        <v>1</v>
      </c>
      <c r="EC389" t="s">
        <v>1</v>
      </c>
      <c r="ED389" t="s">
        <v>1</v>
      </c>
      <c r="EE389" t="s">
        <v>1</v>
      </c>
      <c r="FZ389" t="s">
        <v>806</v>
      </c>
      <c r="GA389">
        <v>749.33333330000005</v>
      </c>
      <c r="GE389" s="26" t="s">
        <v>1358</v>
      </c>
      <c r="HA389" s="5" t="s">
        <v>1</v>
      </c>
      <c r="HB389" s="4" t="s">
        <v>1</v>
      </c>
      <c r="HC389" t="s">
        <v>1</v>
      </c>
      <c r="HD389" t="s">
        <v>1</v>
      </c>
      <c r="HE389" t="s">
        <v>1</v>
      </c>
      <c r="HF389" s="5" t="s">
        <v>1</v>
      </c>
      <c r="HG389" s="4" t="s">
        <v>1</v>
      </c>
      <c r="HH389" t="s">
        <v>1</v>
      </c>
      <c r="HI389" t="s">
        <v>1</v>
      </c>
      <c r="HJ389" t="s">
        <v>1</v>
      </c>
      <c r="HK389" t="s">
        <v>1</v>
      </c>
      <c r="HL389" t="s">
        <v>1</v>
      </c>
      <c r="HM389" t="s">
        <v>1</v>
      </c>
      <c r="HN389" t="s">
        <v>1</v>
      </c>
      <c r="HO389" t="s">
        <v>1</v>
      </c>
      <c r="HP389" t="s">
        <v>1</v>
      </c>
      <c r="HZ389" t="s">
        <v>969</v>
      </c>
      <c r="IA389">
        <v>50</v>
      </c>
      <c r="IB389" s="10" t="s">
        <v>1</v>
      </c>
      <c r="IC389" s="10"/>
      <c r="ID389" s="10"/>
      <c r="IE389" s="10" t="s">
        <v>1</v>
      </c>
      <c r="IF389" s="10" t="s">
        <v>1</v>
      </c>
      <c r="IG389" s="10"/>
      <c r="IH389" s="10"/>
      <c r="II389" s="10"/>
      <c r="IJ389" s="10"/>
      <c r="IK389" s="10"/>
      <c r="IL389" s="10"/>
      <c r="IM389" s="10"/>
      <c r="IN389" s="10"/>
      <c r="IO389" s="10"/>
      <c r="IP389" s="10"/>
      <c r="IQ389" s="10"/>
      <c r="IR389" s="10"/>
      <c r="IS389" t="s">
        <v>1</v>
      </c>
      <c r="IT389" t="s">
        <v>1</v>
      </c>
      <c r="IW389" t="s">
        <v>1</v>
      </c>
      <c r="IX389" t="s">
        <v>1</v>
      </c>
      <c r="IY389" t="s">
        <v>1</v>
      </c>
      <c r="IZ389" t="s">
        <v>1</v>
      </c>
      <c r="JA389" t="s">
        <v>1065</v>
      </c>
      <c r="JB389" s="3">
        <v>5</v>
      </c>
      <c r="JC389" t="s">
        <v>1</v>
      </c>
      <c r="JD389" s="4" t="s">
        <v>1</v>
      </c>
      <c r="JE389" t="s">
        <v>810</v>
      </c>
      <c r="JF389">
        <v>100</v>
      </c>
      <c r="JR389" t="s">
        <v>1066</v>
      </c>
      <c r="JS389">
        <v>21.1</v>
      </c>
      <c r="JU389" t="s">
        <v>1</v>
      </c>
      <c r="JW389" t="s">
        <v>1</v>
      </c>
      <c r="JX389">
        <v>0</v>
      </c>
      <c r="JY389">
        <v>50</v>
      </c>
      <c r="JZ389" t="s">
        <v>800</v>
      </c>
      <c r="KA389" t="s">
        <v>446</v>
      </c>
      <c r="KB389" t="s">
        <v>738</v>
      </c>
      <c r="KC389" t="s">
        <v>1</v>
      </c>
      <c r="KD389" t="s">
        <v>1</v>
      </c>
      <c r="KE389" s="1" t="s">
        <v>1</v>
      </c>
      <c r="KF389" t="s">
        <v>1</v>
      </c>
      <c r="KG389" t="s">
        <v>1</v>
      </c>
      <c r="KH389" t="s">
        <v>1</v>
      </c>
      <c r="KI389" t="s">
        <v>1</v>
      </c>
      <c r="KJ389" t="s">
        <v>1</v>
      </c>
      <c r="KK389" t="s">
        <v>1</v>
      </c>
    </row>
    <row r="390" spans="1:297" x14ac:dyDescent="0.2">
      <c r="A390">
        <v>358</v>
      </c>
      <c r="B390" t="s">
        <v>705</v>
      </c>
      <c r="C390" t="s">
        <v>449</v>
      </c>
      <c r="D390" t="s">
        <v>692</v>
      </c>
      <c r="E390">
        <v>65</v>
      </c>
      <c r="F390" t="s">
        <v>443</v>
      </c>
      <c r="G390" t="s">
        <v>1</v>
      </c>
      <c r="H390" s="26" t="s">
        <v>1420</v>
      </c>
      <c r="I390" t="s">
        <v>1</v>
      </c>
      <c r="J390" t="s">
        <v>1</v>
      </c>
      <c r="K390" t="s">
        <v>1</v>
      </c>
      <c r="L390" t="s">
        <v>1</v>
      </c>
      <c r="M390" t="s">
        <v>1</v>
      </c>
      <c r="N390" t="s">
        <v>1</v>
      </c>
      <c r="O390" t="s">
        <v>1</v>
      </c>
      <c r="P390" t="s">
        <v>1</v>
      </c>
      <c r="Q390" t="s">
        <v>1</v>
      </c>
      <c r="R390" t="s">
        <v>1</v>
      </c>
      <c r="S390" t="s">
        <v>1</v>
      </c>
      <c r="T390" t="s">
        <v>1</v>
      </c>
      <c r="U390" t="s">
        <v>1</v>
      </c>
      <c r="V390" t="s">
        <v>1</v>
      </c>
      <c r="W390" t="s">
        <v>1</v>
      </c>
      <c r="X390" t="s">
        <v>1</v>
      </c>
      <c r="Y390" t="s">
        <v>1</v>
      </c>
      <c r="Z390" t="s">
        <v>1</v>
      </c>
      <c r="AA390" t="s">
        <v>1</v>
      </c>
      <c r="AB390" t="s">
        <v>1</v>
      </c>
      <c r="AC390" t="s">
        <v>1</v>
      </c>
      <c r="AD390" t="s">
        <v>1</v>
      </c>
      <c r="AE390" t="s">
        <v>1</v>
      </c>
      <c r="AF390" t="s">
        <v>1</v>
      </c>
      <c r="AG390" t="s">
        <v>1</v>
      </c>
      <c r="AH390" t="s">
        <v>1</v>
      </c>
      <c r="AI390" t="s">
        <v>1</v>
      </c>
      <c r="AJ390" t="s">
        <v>1</v>
      </c>
      <c r="AK390" t="s">
        <v>1</v>
      </c>
      <c r="AL390" t="s">
        <v>1</v>
      </c>
      <c r="AM390" t="s">
        <v>1</v>
      </c>
      <c r="AN390">
        <v>358</v>
      </c>
      <c r="AO390">
        <f t="shared" si="54"/>
        <v>358</v>
      </c>
      <c r="AP390">
        <f t="shared" si="55"/>
        <v>65</v>
      </c>
      <c r="AQ390">
        <f t="shared" si="56"/>
        <v>65</v>
      </c>
      <c r="AR390" s="26" t="s">
        <v>1355</v>
      </c>
      <c r="AS390" s="26" t="s">
        <v>1356</v>
      </c>
      <c r="AT390" t="s">
        <v>729</v>
      </c>
      <c r="AU390" t="s">
        <v>1</v>
      </c>
      <c r="AV390" t="s">
        <v>1</v>
      </c>
      <c r="AW390">
        <v>12.27</v>
      </c>
      <c r="AX390">
        <v>-2.15</v>
      </c>
      <c r="AY390" t="s">
        <v>737</v>
      </c>
      <c r="BA390" s="3">
        <v>2</v>
      </c>
      <c r="BB390" s="3"/>
      <c r="BC390" s="3"/>
      <c r="BD390" s="3"/>
      <c r="BE390" s="3"/>
      <c r="BF390">
        <v>2002</v>
      </c>
      <c r="BG390" s="24" t="s">
        <v>733</v>
      </c>
      <c r="BH390" s="24" t="s">
        <v>733</v>
      </c>
      <c r="BI390" s="24" t="s">
        <v>733</v>
      </c>
      <c r="BJ390" s="24" t="s">
        <v>732</v>
      </c>
      <c r="BK390" s="24" t="s">
        <v>733</v>
      </c>
      <c r="BL390" s="25" t="s">
        <v>733</v>
      </c>
      <c r="BM390" s="24" t="s">
        <v>733</v>
      </c>
      <c r="BN390" s="24" t="s">
        <v>732</v>
      </c>
      <c r="BO390" s="24" t="s">
        <v>733</v>
      </c>
      <c r="BP390" s="24" t="s">
        <v>733</v>
      </c>
      <c r="BQ390" s="24" t="s">
        <v>945</v>
      </c>
      <c r="BR390" s="24" t="s">
        <v>945</v>
      </c>
      <c r="BS390" s="25" t="s">
        <v>934</v>
      </c>
      <c r="BT390" s="24" t="s">
        <v>934</v>
      </c>
      <c r="BU390" s="24" t="s">
        <v>934</v>
      </c>
      <c r="BV390" s="24" t="s">
        <v>934</v>
      </c>
      <c r="BW390" s="24" t="s">
        <v>934</v>
      </c>
      <c r="BX390" s="24" t="s">
        <v>934</v>
      </c>
      <c r="BY390" s="25" t="s">
        <v>945</v>
      </c>
      <c r="BZ390" t="s">
        <v>445</v>
      </c>
      <c r="CB390" t="s">
        <v>1</v>
      </c>
      <c r="CC390" s="4" t="s">
        <v>1</v>
      </c>
      <c r="CD390" s="4"/>
      <c r="CE390" s="4"/>
      <c r="CF390" t="s">
        <v>1</v>
      </c>
      <c r="CG390" t="s">
        <v>1</v>
      </c>
      <c r="CH390" t="s">
        <v>805</v>
      </c>
      <c r="CI390" s="28">
        <v>1.8</v>
      </c>
      <c r="CJ390" s="10" t="s">
        <v>1442</v>
      </c>
      <c r="CK390" s="9" t="s">
        <v>1</v>
      </c>
      <c r="CL390" s="4" t="s">
        <v>1</v>
      </c>
      <c r="CM390" t="s">
        <v>847</v>
      </c>
      <c r="CN390" s="4">
        <f>AVERAGE(38,43,40)</f>
        <v>40.333333333333336</v>
      </c>
      <c r="CO390" s="4" t="s">
        <v>1</v>
      </c>
      <c r="CP390" s="4" t="s">
        <v>1</v>
      </c>
      <c r="CQ390" s="4" t="s">
        <v>1</v>
      </c>
      <c r="CR390" s="4" t="s">
        <v>1</v>
      </c>
      <c r="CS390" s="4" t="s">
        <v>1</v>
      </c>
      <c r="CT390" s="4" t="s">
        <v>1</v>
      </c>
      <c r="CU390" s="4" t="s">
        <v>1</v>
      </c>
      <c r="CV390" s="37" t="s">
        <v>855</v>
      </c>
      <c r="CW390">
        <v>100</v>
      </c>
      <c r="CX390">
        <v>0</v>
      </c>
      <c r="CY390">
        <v>30</v>
      </c>
      <c r="CZ390" s="26" t="s">
        <v>1358</v>
      </c>
      <c r="DA390" t="s">
        <v>734</v>
      </c>
      <c r="DB390">
        <v>62</v>
      </c>
      <c r="DC390">
        <v>0</v>
      </c>
      <c r="DD390">
        <v>30</v>
      </c>
      <c r="DE390" s="26" t="s">
        <v>1358</v>
      </c>
      <c r="DF390" t="s">
        <v>735</v>
      </c>
      <c r="DG390">
        <v>28</v>
      </c>
      <c r="DH390">
        <v>0</v>
      </c>
      <c r="DI390">
        <v>30</v>
      </c>
      <c r="DJ390" s="26" t="s">
        <v>1358</v>
      </c>
      <c r="DK390" t="s">
        <v>736</v>
      </c>
      <c r="DL390">
        <v>10</v>
      </c>
      <c r="DM390">
        <v>0</v>
      </c>
      <c r="DN390">
        <v>30</v>
      </c>
      <c r="DO390" s="26" t="s">
        <v>1358</v>
      </c>
      <c r="DP390" t="s">
        <v>1</v>
      </c>
      <c r="DQ390" t="s">
        <v>1</v>
      </c>
      <c r="DR390" t="s">
        <v>1</v>
      </c>
      <c r="DS390" t="s">
        <v>1</v>
      </c>
      <c r="DT390" t="s">
        <v>1</v>
      </c>
      <c r="DU390" t="s">
        <v>1</v>
      </c>
      <c r="EA390" t="s">
        <v>1</v>
      </c>
      <c r="EB390" t="s">
        <v>1</v>
      </c>
      <c r="EC390" t="s">
        <v>1</v>
      </c>
      <c r="ED390" t="s">
        <v>1</v>
      </c>
      <c r="EE390" t="s">
        <v>1</v>
      </c>
      <c r="FZ390" t="s">
        <v>806</v>
      </c>
      <c r="GA390">
        <v>749.33333330000005</v>
      </c>
      <c r="GE390" s="26" t="s">
        <v>1358</v>
      </c>
      <c r="HA390" s="5" t="s">
        <v>1</v>
      </c>
      <c r="HB390" s="4" t="s">
        <v>1</v>
      </c>
      <c r="HC390" t="s">
        <v>1</v>
      </c>
      <c r="HD390" t="s">
        <v>1</v>
      </c>
      <c r="HE390" t="s">
        <v>1</v>
      </c>
      <c r="HF390" s="5" t="s">
        <v>1</v>
      </c>
      <c r="HG390" s="4" t="s">
        <v>1</v>
      </c>
      <c r="HH390" t="s">
        <v>1</v>
      </c>
      <c r="HI390" t="s">
        <v>1</v>
      </c>
      <c r="HJ390" t="s">
        <v>1</v>
      </c>
      <c r="HK390" t="s">
        <v>1</v>
      </c>
      <c r="HL390" t="s">
        <v>1</v>
      </c>
      <c r="HM390" t="s">
        <v>1</v>
      </c>
      <c r="HN390" t="s">
        <v>1</v>
      </c>
      <c r="HO390" t="s">
        <v>1</v>
      </c>
      <c r="HP390" t="s">
        <v>1</v>
      </c>
      <c r="HZ390" t="s">
        <v>1</v>
      </c>
      <c r="IA390" t="s">
        <v>1</v>
      </c>
      <c r="IB390" s="10" t="s">
        <v>1</v>
      </c>
      <c r="IC390" s="10"/>
      <c r="ID390" s="10"/>
      <c r="IE390" s="10" t="s">
        <v>1</v>
      </c>
      <c r="IF390" s="10" t="s">
        <v>1</v>
      </c>
      <c r="IG390" s="10"/>
      <c r="IH390" s="10"/>
      <c r="II390" s="10"/>
      <c r="IJ390" s="10"/>
      <c r="IK390" s="10"/>
      <c r="IL390" s="10"/>
      <c r="IM390" s="10"/>
      <c r="IN390" s="10"/>
      <c r="IO390" s="10"/>
      <c r="IP390" s="10"/>
      <c r="IQ390" s="10"/>
      <c r="IR390" s="10"/>
      <c r="IS390" t="s">
        <v>1</v>
      </c>
      <c r="IT390" t="s">
        <v>1</v>
      </c>
      <c r="IW390" t="s">
        <v>1</v>
      </c>
      <c r="IX390" t="s">
        <v>1</v>
      </c>
      <c r="IY390" t="s">
        <v>1</v>
      </c>
      <c r="IZ390" t="s">
        <v>1</v>
      </c>
      <c r="JA390" t="s">
        <v>1065</v>
      </c>
      <c r="JB390" s="3">
        <v>5</v>
      </c>
      <c r="JC390" t="s">
        <v>1</v>
      </c>
      <c r="JD390" s="4" t="s">
        <v>1</v>
      </c>
      <c r="JE390" t="s">
        <v>810</v>
      </c>
      <c r="JF390">
        <v>100</v>
      </c>
      <c r="JR390" t="s">
        <v>1066</v>
      </c>
      <c r="JS390">
        <v>17</v>
      </c>
      <c r="JU390" t="s">
        <v>1</v>
      </c>
      <c r="JW390" t="s">
        <v>1</v>
      </c>
      <c r="JX390">
        <v>0</v>
      </c>
      <c r="JY390">
        <v>50</v>
      </c>
      <c r="JZ390" t="s">
        <v>800</v>
      </c>
      <c r="KA390" t="s">
        <v>446</v>
      </c>
      <c r="KB390" t="s">
        <v>738</v>
      </c>
      <c r="KC390" t="s">
        <v>1</v>
      </c>
      <c r="KD390" t="s">
        <v>1</v>
      </c>
      <c r="KE390" s="1" t="s">
        <v>1</v>
      </c>
      <c r="KF390" t="s">
        <v>1</v>
      </c>
      <c r="KG390" t="s">
        <v>1</v>
      </c>
      <c r="KH390" t="s">
        <v>1</v>
      </c>
      <c r="KI390" t="s">
        <v>1</v>
      </c>
      <c r="KJ390" t="s">
        <v>1</v>
      </c>
      <c r="KK390" t="s">
        <v>1</v>
      </c>
    </row>
    <row r="391" spans="1:297" x14ac:dyDescent="0.2">
      <c r="A391">
        <v>359</v>
      </c>
      <c r="B391" t="s">
        <v>705</v>
      </c>
      <c r="C391" t="s">
        <v>450</v>
      </c>
      <c r="D391" t="s">
        <v>692</v>
      </c>
      <c r="E391">
        <v>65</v>
      </c>
      <c r="F391" t="s">
        <v>443</v>
      </c>
      <c r="G391" t="s">
        <v>1</v>
      </c>
      <c r="H391" s="26" t="s">
        <v>1420</v>
      </c>
      <c r="I391" t="s">
        <v>1</v>
      </c>
      <c r="J391" t="s">
        <v>1</v>
      </c>
      <c r="K391" t="s">
        <v>1</v>
      </c>
      <c r="L391" t="s">
        <v>1</v>
      </c>
      <c r="M391" t="s">
        <v>1</v>
      </c>
      <c r="N391" t="s">
        <v>1</v>
      </c>
      <c r="O391" t="s">
        <v>1</v>
      </c>
      <c r="P391" t="s">
        <v>1</v>
      </c>
      <c r="Q391" t="s">
        <v>1</v>
      </c>
      <c r="R391" t="s">
        <v>1</v>
      </c>
      <c r="S391" t="s">
        <v>1</v>
      </c>
      <c r="T391" t="s">
        <v>1</v>
      </c>
      <c r="U391" t="s">
        <v>1</v>
      </c>
      <c r="V391" t="s">
        <v>1</v>
      </c>
      <c r="W391" t="s">
        <v>1</v>
      </c>
      <c r="X391" t="s">
        <v>1</v>
      </c>
      <c r="Y391" t="s">
        <v>1</v>
      </c>
      <c r="Z391" t="s">
        <v>1</v>
      </c>
      <c r="AA391" t="s">
        <v>1</v>
      </c>
      <c r="AB391" t="s">
        <v>1</v>
      </c>
      <c r="AC391" t="s">
        <v>1</v>
      </c>
      <c r="AD391" t="s">
        <v>1</v>
      </c>
      <c r="AE391" t="s">
        <v>1</v>
      </c>
      <c r="AF391" t="s">
        <v>1</v>
      </c>
      <c r="AG391" t="s">
        <v>1</v>
      </c>
      <c r="AH391" t="s">
        <v>1</v>
      </c>
      <c r="AI391" t="s">
        <v>1</v>
      </c>
      <c r="AJ391" t="s">
        <v>1</v>
      </c>
      <c r="AK391" t="s">
        <v>1</v>
      </c>
      <c r="AL391" t="s">
        <v>1</v>
      </c>
      <c r="AM391" t="s">
        <v>1</v>
      </c>
      <c r="AN391">
        <v>359</v>
      </c>
      <c r="AO391">
        <f t="shared" si="54"/>
        <v>359</v>
      </c>
      <c r="AP391">
        <f t="shared" si="55"/>
        <v>65</v>
      </c>
      <c r="AQ391">
        <f t="shared" si="56"/>
        <v>65</v>
      </c>
      <c r="AR391" s="26" t="s">
        <v>1355</v>
      </c>
      <c r="AS391" s="26" t="s">
        <v>1356</v>
      </c>
      <c r="AT391" t="s">
        <v>729</v>
      </c>
      <c r="AU391" t="s">
        <v>1</v>
      </c>
      <c r="AV391" t="s">
        <v>1</v>
      </c>
      <c r="AW391">
        <v>12.27</v>
      </c>
      <c r="AX391">
        <v>-2.15</v>
      </c>
      <c r="AY391" t="s">
        <v>737</v>
      </c>
      <c r="BA391" s="3">
        <v>2</v>
      </c>
      <c r="BB391" s="3"/>
      <c r="BC391" s="3"/>
      <c r="BD391" s="3"/>
      <c r="BE391" s="3"/>
      <c r="BF391">
        <v>2002</v>
      </c>
      <c r="BG391" s="24" t="s">
        <v>733</v>
      </c>
      <c r="BH391" s="24" t="s">
        <v>733</v>
      </c>
      <c r="BI391" s="24" t="s">
        <v>733</v>
      </c>
      <c r="BJ391" s="24" t="s">
        <v>732</v>
      </c>
      <c r="BK391" s="24" t="s">
        <v>733</v>
      </c>
      <c r="BL391" s="25" t="s">
        <v>733</v>
      </c>
      <c r="BM391" s="24" t="s">
        <v>733</v>
      </c>
      <c r="BN391" s="24" t="s">
        <v>732</v>
      </c>
      <c r="BO391" s="24" t="s">
        <v>733</v>
      </c>
      <c r="BP391" s="24" t="s">
        <v>733</v>
      </c>
      <c r="BQ391" s="24" t="s">
        <v>945</v>
      </c>
      <c r="BR391" s="24" t="s">
        <v>945</v>
      </c>
      <c r="BS391" s="25" t="s">
        <v>934</v>
      </c>
      <c r="BT391" s="24" t="s">
        <v>934</v>
      </c>
      <c r="BU391" s="24" t="s">
        <v>934</v>
      </c>
      <c r="BV391" s="24" t="s">
        <v>934</v>
      </c>
      <c r="BW391" s="24" t="s">
        <v>934</v>
      </c>
      <c r="BX391" s="24" t="s">
        <v>934</v>
      </c>
      <c r="BY391" s="25" t="s">
        <v>945</v>
      </c>
      <c r="BZ391" t="s">
        <v>445</v>
      </c>
      <c r="CB391" t="s">
        <v>1</v>
      </c>
      <c r="CC391" s="4" t="s">
        <v>1</v>
      </c>
      <c r="CD391" s="4"/>
      <c r="CE391" s="4"/>
      <c r="CF391" t="s">
        <v>1</v>
      </c>
      <c r="CG391" t="s">
        <v>1</v>
      </c>
      <c r="CH391" t="s">
        <v>805</v>
      </c>
      <c r="CI391" s="28">
        <v>1.8</v>
      </c>
      <c r="CJ391" s="10" t="s">
        <v>1442</v>
      </c>
      <c r="CK391" s="9" t="s">
        <v>1</v>
      </c>
      <c r="CL391" s="4" t="s">
        <v>1</v>
      </c>
      <c r="CM391" t="s">
        <v>847</v>
      </c>
      <c r="CN391" s="4">
        <f>AVERAGE(95,72,90)</f>
        <v>85.666666666666671</v>
      </c>
      <c r="CO391" s="4" t="s">
        <v>1</v>
      </c>
      <c r="CP391" s="4" t="s">
        <v>1</v>
      </c>
      <c r="CQ391" s="4" t="s">
        <v>1</v>
      </c>
      <c r="CR391" s="4" t="s">
        <v>1</v>
      </c>
      <c r="CS391" s="4" t="s">
        <v>1</v>
      </c>
      <c r="CT391" s="4" t="s">
        <v>1</v>
      </c>
      <c r="CU391" s="4" t="s">
        <v>1</v>
      </c>
      <c r="CV391" s="37" t="s">
        <v>855</v>
      </c>
      <c r="CW391">
        <v>100</v>
      </c>
      <c r="CX391">
        <v>0</v>
      </c>
      <c r="CY391">
        <v>30</v>
      </c>
      <c r="CZ391" s="26" t="s">
        <v>1358</v>
      </c>
      <c r="DA391" t="s">
        <v>734</v>
      </c>
      <c r="DB391">
        <v>62</v>
      </c>
      <c r="DC391">
        <v>0</v>
      </c>
      <c r="DD391">
        <v>30</v>
      </c>
      <c r="DE391" s="26" t="s">
        <v>1358</v>
      </c>
      <c r="DF391" t="s">
        <v>735</v>
      </c>
      <c r="DG391">
        <v>28</v>
      </c>
      <c r="DH391">
        <v>0</v>
      </c>
      <c r="DI391">
        <v>30</v>
      </c>
      <c r="DJ391" s="26" t="s">
        <v>1358</v>
      </c>
      <c r="DK391" t="s">
        <v>736</v>
      </c>
      <c r="DL391">
        <v>10</v>
      </c>
      <c r="DM391">
        <v>0</v>
      </c>
      <c r="DN391">
        <v>30</v>
      </c>
      <c r="DO391" s="26" t="s">
        <v>1358</v>
      </c>
      <c r="DP391" t="s">
        <v>1</v>
      </c>
      <c r="DQ391" t="s">
        <v>1</v>
      </c>
      <c r="DR391" t="s">
        <v>1</v>
      </c>
      <c r="DS391" t="s">
        <v>1</v>
      </c>
      <c r="DT391" t="s">
        <v>1</v>
      </c>
      <c r="DU391" t="s">
        <v>1</v>
      </c>
      <c r="EA391" t="s">
        <v>1</v>
      </c>
      <c r="EB391" t="s">
        <v>1</v>
      </c>
      <c r="EC391" t="s">
        <v>1</v>
      </c>
      <c r="ED391" t="s">
        <v>1</v>
      </c>
      <c r="EE391" t="s">
        <v>1</v>
      </c>
      <c r="FZ391" t="s">
        <v>806</v>
      </c>
      <c r="GA391">
        <v>749.33333330000005</v>
      </c>
      <c r="GE391" s="26" t="s">
        <v>1358</v>
      </c>
      <c r="HA391" s="5" t="s">
        <v>1</v>
      </c>
      <c r="HB391" s="4" t="s">
        <v>1</v>
      </c>
      <c r="HC391" t="s">
        <v>1</v>
      </c>
      <c r="HD391" t="s">
        <v>1</v>
      </c>
      <c r="HE391" t="s">
        <v>1</v>
      </c>
      <c r="HF391" s="5" t="s">
        <v>1</v>
      </c>
      <c r="HG391" s="4" t="s">
        <v>1</v>
      </c>
      <c r="HH391" t="s">
        <v>1</v>
      </c>
      <c r="HI391" t="s">
        <v>1</v>
      </c>
      <c r="HJ391" t="s">
        <v>1</v>
      </c>
      <c r="HK391" t="s">
        <v>1</v>
      </c>
      <c r="HL391" t="s">
        <v>1</v>
      </c>
      <c r="HM391" t="s">
        <v>1</v>
      </c>
      <c r="HN391" t="s">
        <v>1</v>
      </c>
      <c r="HO391" t="s">
        <v>1</v>
      </c>
      <c r="HP391" t="s">
        <v>1</v>
      </c>
      <c r="HZ391" t="s">
        <v>1</v>
      </c>
      <c r="IA391" t="s">
        <v>1</v>
      </c>
      <c r="IB391" s="10" t="s">
        <v>1</v>
      </c>
      <c r="IC391" s="10"/>
      <c r="ID391" s="10"/>
      <c r="IE391" s="10" t="s">
        <v>1</v>
      </c>
      <c r="IF391" s="10" t="s">
        <v>1</v>
      </c>
      <c r="IG391" s="10"/>
      <c r="IH391" s="10"/>
      <c r="II391" s="10"/>
      <c r="IJ391" s="10"/>
      <c r="IK391" s="10"/>
      <c r="IL391" s="10"/>
      <c r="IM391" s="10"/>
      <c r="IN391" s="10"/>
      <c r="IO391" s="10"/>
      <c r="IP391" s="10"/>
      <c r="IQ391" s="10"/>
      <c r="IR391" s="10"/>
      <c r="IS391" t="s">
        <v>978</v>
      </c>
      <c r="IT391">
        <v>50</v>
      </c>
      <c r="IW391" t="s">
        <v>1</v>
      </c>
      <c r="IX391" t="s">
        <v>1</v>
      </c>
      <c r="IY391" t="s">
        <v>1</v>
      </c>
      <c r="IZ391" t="s">
        <v>1</v>
      </c>
      <c r="JA391" t="s">
        <v>1065</v>
      </c>
      <c r="JB391" s="3">
        <v>5</v>
      </c>
      <c r="JC391" t="s">
        <v>1</v>
      </c>
      <c r="JD391" s="4" t="s">
        <v>1</v>
      </c>
      <c r="JE391" t="s">
        <v>810</v>
      </c>
      <c r="JF391">
        <v>100</v>
      </c>
      <c r="JR391" t="s">
        <v>1066</v>
      </c>
      <c r="JS391">
        <v>26.4</v>
      </c>
      <c r="JU391" t="s">
        <v>1</v>
      </c>
      <c r="JW391" t="s">
        <v>1</v>
      </c>
      <c r="JX391">
        <v>0</v>
      </c>
      <c r="JY391">
        <v>50</v>
      </c>
      <c r="JZ391" t="s">
        <v>800</v>
      </c>
      <c r="KA391" t="s">
        <v>446</v>
      </c>
      <c r="KB391" t="s">
        <v>738</v>
      </c>
      <c r="KC391" t="s">
        <v>1</v>
      </c>
      <c r="KD391" t="s">
        <v>1</v>
      </c>
      <c r="KE391" s="1" t="s">
        <v>1</v>
      </c>
      <c r="KF391" t="s">
        <v>1</v>
      </c>
      <c r="KG391" t="s">
        <v>1</v>
      </c>
      <c r="KH391" t="s">
        <v>1</v>
      </c>
      <c r="KI391" t="s">
        <v>1</v>
      </c>
      <c r="KJ391" t="s">
        <v>1</v>
      </c>
      <c r="KK391" t="s">
        <v>1</v>
      </c>
    </row>
    <row r="392" spans="1:297" x14ac:dyDescent="0.2">
      <c r="A392">
        <v>360</v>
      </c>
      <c r="B392" t="s">
        <v>705</v>
      </c>
      <c r="C392" t="s">
        <v>451</v>
      </c>
      <c r="D392" t="s">
        <v>692</v>
      </c>
      <c r="E392">
        <v>65</v>
      </c>
      <c r="F392" t="s">
        <v>443</v>
      </c>
      <c r="G392" t="s">
        <v>1</v>
      </c>
      <c r="H392" s="26" t="s">
        <v>1420</v>
      </c>
      <c r="I392" t="s">
        <v>1</v>
      </c>
      <c r="J392" t="s">
        <v>1</v>
      </c>
      <c r="K392" t="s">
        <v>1</v>
      </c>
      <c r="L392" t="s">
        <v>1</v>
      </c>
      <c r="M392" t="s">
        <v>1</v>
      </c>
      <c r="N392" t="s">
        <v>1</v>
      </c>
      <c r="O392" t="s">
        <v>1</v>
      </c>
      <c r="P392" t="s">
        <v>1</v>
      </c>
      <c r="Q392" t="s">
        <v>1</v>
      </c>
      <c r="R392" t="s">
        <v>1</v>
      </c>
      <c r="S392" t="s">
        <v>1</v>
      </c>
      <c r="T392" t="s">
        <v>1</v>
      </c>
      <c r="U392" t="s">
        <v>1</v>
      </c>
      <c r="V392" t="s">
        <v>1</v>
      </c>
      <c r="W392" t="s">
        <v>1</v>
      </c>
      <c r="X392" t="s">
        <v>1</v>
      </c>
      <c r="Y392" t="s">
        <v>1</v>
      </c>
      <c r="Z392" t="s">
        <v>1</v>
      </c>
      <c r="AA392" t="s">
        <v>1</v>
      </c>
      <c r="AB392" t="s">
        <v>1</v>
      </c>
      <c r="AC392" t="s">
        <v>1</v>
      </c>
      <c r="AD392" t="s">
        <v>1</v>
      </c>
      <c r="AE392" t="s">
        <v>1</v>
      </c>
      <c r="AF392" t="s">
        <v>1</v>
      </c>
      <c r="AG392" t="s">
        <v>1</v>
      </c>
      <c r="AH392" t="s">
        <v>1</v>
      </c>
      <c r="AI392" t="s">
        <v>1</v>
      </c>
      <c r="AJ392" t="s">
        <v>1</v>
      </c>
      <c r="AK392" t="s">
        <v>1</v>
      </c>
      <c r="AL392" t="s">
        <v>1</v>
      </c>
      <c r="AM392" t="s">
        <v>1</v>
      </c>
      <c r="AN392">
        <v>360</v>
      </c>
      <c r="AO392">
        <f t="shared" si="54"/>
        <v>360</v>
      </c>
      <c r="AP392">
        <f t="shared" si="55"/>
        <v>65</v>
      </c>
      <c r="AQ392">
        <f t="shared" si="56"/>
        <v>65</v>
      </c>
      <c r="AR392" s="26" t="s">
        <v>1355</v>
      </c>
      <c r="AS392" s="26" t="s">
        <v>1356</v>
      </c>
      <c r="AT392" t="s">
        <v>729</v>
      </c>
      <c r="AU392" t="s">
        <v>1</v>
      </c>
      <c r="AV392" t="s">
        <v>1</v>
      </c>
      <c r="AW392">
        <v>12.27</v>
      </c>
      <c r="AX392">
        <v>-2.15</v>
      </c>
      <c r="AY392" t="s">
        <v>737</v>
      </c>
      <c r="BA392" s="3">
        <v>2</v>
      </c>
      <c r="BB392" s="3"/>
      <c r="BC392" s="3"/>
      <c r="BD392" s="3"/>
      <c r="BE392" s="3"/>
      <c r="BF392">
        <v>2002</v>
      </c>
      <c r="BG392" s="24" t="s">
        <v>733</v>
      </c>
      <c r="BH392" s="24" t="s">
        <v>733</v>
      </c>
      <c r="BI392" s="24" t="s">
        <v>733</v>
      </c>
      <c r="BJ392" s="24" t="s">
        <v>732</v>
      </c>
      <c r="BK392" s="24" t="s">
        <v>733</v>
      </c>
      <c r="BL392" s="25" t="s">
        <v>733</v>
      </c>
      <c r="BM392" s="24" t="s">
        <v>733</v>
      </c>
      <c r="BN392" s="24" t="s">
        <v>732</v>
      </c>
      <c r="BO392" s="24" t="s">
        <v>733</v>
      </c>
      <c r="BP392" s="24" t="s">
        <v>733</v>
      </c>
      <c r="BQ392" s="24" t="s">
        <v>945</v>
      </c>
      <c r="BR392" s="24" t="s">
        <v>945</v>
      </c>
      <c r="BS392" s="25" t="s">
        <v>934</v>
      </c>
      <c r="BT392" s="24" t="s">
        <v>934</v>
      </c>
      <c r="BU392" s="24" t="s">
        <v>934</v>
      </c>
      <c r="BV392" s="24" t="s">
        <v>934</v>
      </c>
      <c r="BW392" s="24" t="s">
        <v>934</v>
      </c>
      <c r="BX392" s="24" t="s">
        <v>934</v>
      </c>
      <c r="BY392" s="25" t="s">
        <v>945</v>
      </c>
      <c r="BZ392" t="s">
        <v>445</v>
      </c>
      <c r="CB392" t="s">
        <v>1</v>
      </c>
      <c r="CC392" s="4" t="s">
        <v>1</v>
      </c>
      <c r="CD392" s="4"/>
      <c r="CE392" s="4"/>
      <c r="CF392" t="s">
        <v>1</v>
      </c>
      <c r="CG392" t="s">
        <v>1</v>
      </c>
      <c r="CH392" t="s">
        <v>805</v>
      </c>
      <c r="CI392" s="28">
        <v>1.8</v>
      </c>
      <c r="CJ392" s="10" t="s">
        <v>1442</v>
      </c>
      <c r="CK392" s="9" t="s">
        <v>1</v>
      </c>
      <c r="CL392" s="4" t="s">
        <v>1</v>
      </c>
      <c r="CM392" t="s">
        <v>847</v>
      </c>
      <c r="CN392" s="4">
        <f>AVERAGE(64,69,62)</f>
        <v>65</v>
      </c>
      <c r="CO392" s="4" t="s">
        <v>1</v>
      </c>
      <c r="CP392" s="4" t="s">
        <v>1</v>
      </c>
      <c r="CQ392" s="4" t="s">
        <v>1</v>
      </c>
      <c r="CR392" s="4" t="s">
        <v>1</v>
      </c>
      <c r="CS392" s="4" t="s">
        <v>1</v>
      </c>
      <c r="CT392" s="4" t="s">
        <v>1</v>
      </c>
      <c r="CU392" s="4" t="s">
        <v>1</v>
      </c>
      <c r="CV392" s="37" t="s">
        <v>855</v>
      </c>
      <c r="CW392">
        <v>100</v>
      </c>
      <c r="CX392">
        <v>0</v>
      </c>
      <c r="CY392">
        <v>30</v>
      </c>
      <c r="CZ392" s="26" t="s">
        <v>1358</v>
      </c>
      <c r="DA392" t="s">
        <v>734</v>
      </c>
      <c r="DB392">
        <v>62</v>
      </c>
      <c r="DC392">
        <v>0</v>
      </c>
      <c r="DD392">
        <v>30</v>
      </c>
      <c r="DE392" s="26" t="s">
        <v>1358</v>
      </c>
      <c r="DF392" t="s">
        <v>735</v>
      </c>
      <c r="DG392">
        <v>28</v>
      </c>
      <c r="DH392">
        <v>0</v>
      </c>
      <c r="DI392">
        <v>30</v>
      </c>
      <c r="DJ392" s="26" t="s">
        <v>1358</v>
      </c>
      <c r="DK392" t="s">
        <v>736</v>
      </c>
      <c r="DL392">
        <v>10</v>
      </c>
      <c r="DM392">
        <v>0</v>
      </c>
      <c r="DN392">
        <v>30</v>
      </c>
      <c r="DO392" s="26" t="s">
        <v>1358</v>
      </c>
      <c r="DP392" t="s">
        <v>1</v>
      </c>
      <c r="DQ392" t="s">
        <v>1</v>
      </c>
      <c r="DR392" t="s">
        <v>1</v>
      </c>
      <c r="DS392" t="s">
        <v>1</v>
      </c>
      <c r="DT392" t="s">
        <v>1</v>
      </c>
      <c r="DU392" t="s">
        <v>1</v>
      </c>
      <c r="EA392" t="s">
        <v>1</v>
      </c>
      <c r="EB392" t="s">
        <v>1</v>
      </c>
      <c r="EC392" t="s">
        <v>1</v>
      </c>
      <c r="ED392" t="s">
        <v>1</v>
      </c>
      <c r="EE392" t="s">
        <v>1</v>
      </c>
      <c r="FZ392" t="s">
        <v>806</v>
      </c>
      <c r="GA392">
        <v>749.33333330000005</v>
      </c>
      <c r="GE392" s="26" t="s">
        <v>1358</v>
      </c>
      <c r="HA392" s="5" t="s">
        <v>1</v>
      </c>
      <c r="HB392" s="4" t="s">
        <v>1</v>
      </c>
      <c r="HC392" t="s">
        <v>1</v>
      </c>
      <c r="HD392" t="s">
        <v>1</v>
      </c>
      <c r="HE392" t="s">
        <v>1</v>
      </c>
      <c r="HF392" s="5" t="s">
        <v>1</v>
      </c>
      <c r="HG392" s="4" t="s">
        <v>1</v>
      </c>
      <c r="HH392" t="s">
        <v>1</v>
      </c>
      <c r="HI392" t="s">
        <v>1</v>
      </c>
      <c r="HJ392" t="s">
        <v>1</v>
      </c>
      <c r="HK392" t="s">
        <v>1</v>
      </c>
      <c r="HL392" t="s">
        <v>1</v>
      </c>
      <c r="HM392" t="s">
        <v>1</v>
      </c>
      <c r="HN392" t="s">
        <v>1</v>
      </c>
      <c r="HO392" t="s">
        <v>1</v>
      </c>
      <c r="HP392" t="s">
        <v>1</v>
      </c>
      <c r="HZ392" t="s">
        <v>969</v>
      </c>
      <c r="IA392">
        <v>50</v>
      </c>
      <c r="IB392" s="10" t="s">
        <v>1</v>
      </c>
      <c r="IC392" s="10"/>
      <c r="ID392" s="10"/>
      <c r="IE392" s="10" t="s">
        <v>1</v>
      </c>
      <c r="IF392" s="10" t="s">
        <v>1</v>
      </c>
      <c r="IG392" s="10"/>
      <c r="IH392" s="10"/>
      <c r="II392" s="10"/>
      <c r="IJ392" s="10"/>
      <c r="IK392" s="10"/>
      <c r="IL392" s="10"/>
      <c r="IM392" s="10"/>
      <c r="IN392" s="10"/>
      <c r="IO392" s="10"/>
      <c r="IP392" s="10"/>
      <c r="IQ392" s="10"/>
      <c r="IR392" s="10"/>
      <c r="IS392" t="s">
        <v>1</v>
      </c>
      <c r="IT392" t="s">
        <v>1</v>
      </c>
      <c r="IW392" t="s">
        <v>1</v>
      </c>
      <c r="IX392" t="s">
        <v>1</v>
      </c>
      <c r="IY392" t="s">
        <v>1</v>
      </c>
      <c r="IZ392" t="s">
        <v>1</v>
      </c>
      <c r="JA392" t="s">
        <v>1065</v>
      </c>
      <c r="JB392" s="3">
        <v>5</v>
      </c>
      <c r="JC392" t="s">
        <v>1</v>
      </c>
      <c r="JD392" s="4" t="s">
        <v>1</v>
      </c>
      <c r="JE392" t="s">
        <v>810</v>
      </c>
      <c r="JF392">
        <v>100</v>
      </c>
      <c r="JR392" t="s">
        <v>1066</v>
      </c>
      <c r="JS392">
        <v>28.2</v>
      </c>
      <c r="JU392" t="s">
        <v>1</v>
      </c>
      <c r="JW392" t="s">
        <v>1</v>
      </c>
      <c r="JX392">
        <v>0</v>
      </c>
      <c r="JY392">
        <v>50</v>
      </c>
      <c r="JZ392" t="s">
        <v>800</v>
      </c>
      <c r="KA392" t="s">
        <v>446</v>
      </c>
      <c r="KB392" t="s">
        <v>738</v>
      </c>
      <c r="KC392" t="s">
        <v>1</v>
      </c>
      <c r="KD392" t="s">
        <v>1</v>
      </c>
      <c r="KE392" s="1" t="s">
        <v>1</v>
      </c>
      <c r="KF392" t="s">
        <v>1</v>
      </c>
      <c r="KG392" t="s">
        <v>1</v>
      </c>
      <c r="KH392" t="s">
        <v>1</v>
      </c>
      <c r="KI392" t="s">
        <v>1</v>
      </c>
      <c r="KJ392" t="s">
        <v>1</v>
      </c>
      <c r="KK392" t="s">
        <v>1</v>
      </c>
    </row>
    <row r="393" spans="1:297" x14ac:dyDescent="0.2">
      <c r="A393">
        <v>361</v>
      </c>
      <c r="B393" t="s">
        <v>705</v>
      </c>
      <c r="C393" t="s">
        <v>444</v>
      </c>
      <c r="D393" t="s">
        <v>692</v>
      </c>
      <c r="E393">
        <v>65</v>
      </c>
      <c r="F393" t="s">
        <v>443</v>
      </c>
      <c r="G393" t="s">
        <v>1</v>
      </c>
      <c r="H393" s="26" t="s">
        <v>1420</v>
      </c>
      <c r="I393" t="s">
        <v>1</v>
      </c>
      <c r="J393" t="s">
        <v>1</v>
      </c>
      <c r="K393" t="s">
        <v>1</v>
      </c>
      <c r="L393" t="s">
        <v>1</v>
      </c>
      <c r="M393" t="s">
        <v>1</v>
      </c>
      <c r="N393" t="s">
        <v>1</v>
      </c>
      <c r="O393" t="s">
        <v>1</v>
      </c>
      <c r="P393" t="s">
        <v>1</v>
      </c>
      <c r="Q393" t="s">
        <v>1</v>
      </c>
      <c r="R393" t="s">
        <v>1</v>
      </c>
      <c r="S393" t="s">
        <v>1</v>
      </c>
      <c r="T393" t="s">
        <v>1</v>
      </c>
      <c r="U393" t="s">
        <v>1</v>
      </c>
      <c r="V393" t="s">
        <v>1</v>
      </c>
      <c r="W393" t="s">
        <v>1</v>
      </c>
      <c r="X393" t="s">
        <v>1</v>
      </c>
      <c r="Y393" t="s">
        <v>1</v>
      </c>
      <c r="Z393" t="s">
        <v>1</v>
      </c>
      <c r="AA393" t="s">
        <v>1</v>
      </c>
      <c r="AB393" t="s">
        <v>1</v>
      </c>
      <c r="AC393" t="s">
        <v>1</v>
      </c>
      <c r="AD393" t="s">
        <v>1</v>
      </c>
      <c r="AE393" t="s">
        <v>1</v>
      </c>
      <c r="AF393" t="s">
        <v>1</v>
      </c>
      <c r="AG393" t="s">
        <v>1</v>
      </c>
      <c r="AH393" t="s">
        <v>1</v>
      </c>
      <c r="AI393" t="s">
        <v>1</v>
      </c>
      <c r="AJ393" t="s">
        <v>1</v>
      </c>
      <c r="AK393" t="s">
        <v>1</v>
      </c>
      <c r="AL393" t="s">
        <v>1</v>
      </c>
      <c r="AM393" t="s">
        <v>1</v>
      </c>
      <c r="AN393">
        <v>361</v>
      </c>
      <c r="AO393">
        <f t="shared" si="54"/>
        <v>361</v>
      </c>
      <c r="AP393">
        <f t="shared" si="55"/>
        <v>65</v>
      </c>
      <c r="AQ393">
        <f t="shared" si="56"/>
        <v>65</v>
      </c>
      <c r="AR393" s="26" t="s">
        <v>1355</v>
      </c>
      <c r="AS393" s="26" t="s">
        <v>1356</v>
      </c>
      <c r="AT393" t="s">
        <v>729</v>
      </c>
      <c r="AU393" t="s">
        <v>1</v>
      </c>
      <c r="AV393" t="s">
        <v>1</v>
      </c>
      <c r="AW393">
        <v>12.27</v>
      </c>
      <c r="AX393">
        <v>-2.15</v>
      </c>
      <c r="AY393" t="s">
        <v>737</v>
      </c>
      <c r="BA393" s="3">
        <v>2</v>
      </c>
      <c r="BB393" s="3"/>
      <c r="BC393" s="3"/>
      <c r="BD393" s="3"/>
      <c r="BE393" s="3"/>
      <c r="BF393">
        <v>2000</v>
      </c>
      <c r="BG393" s="24" t="s">
        <v>733</v>
      </c>
      <c r="BH393" s="24" t="s">
        <v>733</v>
      </c>
      <c r="BI393" s="24" t="s">
        <v>733</v>
      </c>
      <c r="BJ393" s="24" t="s">
        <v>732</v>
      </c>
      <c r="BK393" s="24" t="s">
        <v>733</v>
      </c>
      <c r="BL393" s="25" t="s">
        <v>733</v>
      </c>
      <c r="BM393" s="24" t="s">
        <v>733</v>
      </c>
      <c r="BN393" s="24" t="s">
        <v>732</v>
      </c>
      <c r="BO393" s="24" t="s">
        <v>733</v>
      </c>
      <c r="BP393" s="24" t="s">
        <v>733</v>
      </c>
      <c r="BQ393" s="24" t="s">
        <v>945</v>
      </c>
      <c r="BR393" s="24" t="s">
        <v>945</v>
      </c>
      <c r="BS393" s="25" t="s">
        <v>934</v>
      </c>
      <c r="BT393" s="24" t="s">
        <v>934</v>
      </c>
      <c r="BU393" s="24" t="s">
        <v>934</v>
      </c>
      <c r="BV393" s="24" t="s">
        <v>934</v>
      </c>
      <c r="BW393" s="24" t="s">
        <v>934</v>
      </c>
      <c r="BX393" s="24" t="s">
        <v>934</v>
      </c>
      <c r="BY393" s="25" t="s">
        <v>945</v>
      </c>
      <c r="BZ393" t="s">
        <v>445</v>
      </c>
      <c r="CB393" t="s">
        <v>1</v>
      </c>
      <c r="CC393" s="4" t="s">
        <v>1</v>
      </c>
      <c r="CD393" s="4"/>
      <c r="CE393" s="4"/>
      <c r="CF393" t="s">
        <v>1</v>
      </c>
      <c r="CG393" t="s">
        <v>1</v>
      </c>
      <c r="CH393" t="s">
        <v>805</v>
      </c>
      <c r="CI393" s="28">
        <v>1.8</v>
      </c>
      <c r="CJ393" s="10" t="s">
        <v>1442</v>
      </c>
      <c r="CK393" s="9" t="s">
        <v>1</v>
      </c>
      <c r="CL393" s="4" t="s">
        <v>1</v>
      </c>
      <c r="CM393" t="s">
        <v>847</v>
      </c>
      <c r="CN393" s="4">
        <v>47</v>
      </c>
      <c r="CO393" s="4" t="s">
        <v>1</v>
      </c>
      <c r="CP393" s="4" t="s">
        <v>1</v>
      </c>
      <c r="CQ393" s="4" t="s">
        <v>1</v>
      </c>
      <c r="CR393" s="4" t="s">
        <v>1</v>
      </c>
      <c r="CS393" s="4" t="s">
        <v>1</v>
      </c>
      <c r="CT393" s="4" t="s">
        <v>1</v>
      </c>
      <c r="CU393" s="4" t="s">
        <v>1</v>
      </c>
      <c r="CV393" s="37" t="s">
        <v>855</v>
      </c>
      <c r="CW393">
        <v>100</v>
      </c>
      <c r="CX393">
        <v>0</v>
      </c>
      <c r="CY393">
        <v>30</v>
      </c>
      <c r="CZ393" s="26" t="s">
        <v>1358</v>
      </c>
      <c r="DA393" t="s">
        <v>734</v>
      </c>
      <c r="DB393">
        <v>62</v>
      </c>
      <c r="DC393">
        <v>0</v>
      </c>
      <c r="DD393">
        <v>30</v>
      </c>
      <c r="DE393" s="26" t="s">
        <v>1358</v>
      </c>
      <c r="DF393" t="s">
        <v>735</v>
      </c>
      <c r="DG393">
        <v>28</v>
      </c>
      <c r="DH393">
        <v>0</v>
      </c>
      <c r="DI393">
        <v>30</v>
      </c>
      <c r="DJ393" s="26" t="s">
        <v>1358</v>
      </c>
      <c r="DK393" t="s">
        <v>736</v>
      </c>
      <c r="DL393">
        <v>10</v>
      </c>
      <c r="DM393">
        <v>0</v>
      </c>
      <c r="DN393">
        <v>30</v>
      </c>
      <c r="DO393" s="26" t="s">
        <v>1358</v>
      </c>
      <c r="DP393" t="s">
        <v>1</v>
      </c>
      <c r="DQ393" t="s">
        <v>1</v>
      </c>
      <c r="DR393" t="s">
        <v>1</v>
      </c>
      <c r="DS393" t="s">
        <v>1</v>
      </c>
      <c r="DT393" t="s">
        <v>1</v>
      </c>
      <c r="DU393" t="s">
        <v>1</v>
      </c>
      <c r="EA393" t="s">
        <v>1</v>
      </c>
      <c r="EB393" t="s">
        <v>1</v>
      </c>
      <c r="EC393" t="s">
        <v>1</v>
      </c>
      <c r="ED393" t="s">
        <v>1</v>
      </c>
      <c r="EE393" t="s">
        <v>1</v>
      </c>
      <c r="FZ393" t="s">
        <v>806</v>
      </c>
      <c r="GA393">
        <v>796</v>
      </c>
      <c r="GE393" s="26" t="s">
        <v>1358</v>
      </c>
      <c r="HA393" s="5" t="s">
        <v>1</v>
      </c>
      <c r="HB393" s="4" t="s">
        <v>1</v>
      </c>
      <c r="HC393" t="s">
        <v>1</v>
      </c>
      <c r="HD393" t="s">
        <v>1</v>
      </c>
      <c r="HE393" t="s">
        <v>1</v>
      </c>
      <c r="HF393" s="5" t="s">
        <v>1</v>
      </c>
      <c r="HG393" s="4" t="s">
        <v>1</v>
      </c>
      <c r="HH393" t="s">
        <v>1</v>
      </c>
      <c r="HI393" t="s">
        <v>1</v>
      </c>
      <c r="HJ393" t="s">
        <v>1</v>
      </c>
      <c r="HK393" t="s">
        <v>1</v>
      </c>
      <c r="HL393" t="s">
        <v>1</v>
      </c>
      <c r="HM393" t="s">
        <v>1</v>
      </c>
      <c r="HN393" t="s">
        <v>1</v>
      </c>
      <c r="HO393" t="s">
        <v>1</v>
      </c>
      <c r="HP393" t="s">
        <v>1</v>
      </c>
      <c r="HZ393" t="s">
        <v>1</v>
      </c>
      <c r="IA393" t="s">
        <v>1</v>
      </c>
      <c r="IB393" s="10" t="s">
        <v>1</v>
      </c>
      <c r="IC393" s="10"/>
      <c r="ID393" s="10"/>
      <c r="IE393" s="10" t="s">
        <v>1</v>
      </c>
      <c r="IF393" s="10" t="s">
        <v>1</v>
      </c>
      <c r="IG393" s="10"/>
      <c r="IH393" s="10"/>
      <c r="II393" s="10"/>
      <c r="IJ393" s="10"/>
      <c r="IK393" s="10"/>
      <c r="IL393" s="10"/>
      <c r="IM393" s="10"/>
      <c r="IN393" s="10"/>
      <c r="IO393" s="10"/>
      <c r="IP393" s="10"/>
      <c r="IQ393" s="10"/>
      <c r="IR393" s="10"/>
      <c r="IS393" t="s">
        <v>1</v>
      </c>
      <c r="IT393" t="s">
        <v>1</v>
      </c>
      <c r="IW393" t="s">
        <v>1</v>
      </c>
      <c r="IX393" t="s">
        <v>1</v>
      </c>
      <c r="IY393" t="s">
        <v>1</v>
      </c>
      <c r="IZ393" t="s">
        <v>1</v>
      </c>
      <c r="JA393" t="s">
        <v>1065</v>
      </c>
      <c r="JB393" s="3">
        <v>5</v>
      </c>
      <c r="JC393" t="s">
        <v>1</v>
      </c>
      <c r="JD393" s="4" t="s">
        <v>1</v>
      </c>
      <c r="JE393" t="s">
        <v>810</v>
      </c>
      <c r="JF393">
        <v>100</v>
      </c>
      <c r="JR393" t="s">
        <v>1066</v>
      </c>
      <c r="JS393">
        <v>11.1</v>
      </c>
      <c r="JU393" t="s">
        <v>1</v>
      </c>
      <c r="JW393" t="s">
        <v>1</v>
      </c>
      <c r="JX393">
        <v>0</v>
      </c>
      <c r="JY393">
        <v>50</v>
      </c>
      <c r="JZ393" t="s">
        <v>800</v>
      </c>
      <c r="KA393" t="s">
        <v>446</v>
      </c>
      <c r="KB393" t="s">
        <v>738</v>
      </c>
      <c r="KC393" t="s">
        <v>1</v>
      </c>
      <c r="KD393" t="s">
        <v>1</v>
      </c>
      <c r="KE393" s="1" t="s">
        <v>1</v>
      </c>
      <c r="KF393" t="s">
        <v>1</v>
      </c>
      <c r="KG393" t="s">
        <v>1</v>
      </c>
      <c r="KH393" t="s">
        <v>1</v>
      </c>
      <c r="KI393" t="s">
        <v>1</v>
      </c>
      <c r="KJ393" t="s">
        <v>1</v>
      </c>
      <c r="KK393" t="s">
        <v>1</v>
      </c>
    </row>
    <row r="394" spans="1:297" x14ac:dyDescent="0.2">
      <c r="A394">
        <v>362</v>
      </c>
      <c r="B394" t="s">
        <v>705</v>
      </c>
      <c r="C394" t="s">
        <v>452</v>
      </c>
      <c r="D394" t="s">
        <v>692</v>
      </c>
      <c r="E394">
        <v>65</v>
      </c>
      <c r="F394" t="s">
        <v>443</v>
      </c>
      <c r="G394" t="s">
        <v>1</v>
      </c>
      <c r="H394" s="26" t="s">
        <v>1420</v>
      </c>
      <c r="I394" t="s">
        <v>1</v>
      </c>
      <c r="J394" t="s">
        <v>1</v>
      </c>
      <c r="K394" t="s">
        <v>1</v>
      </c>
      <c r="L394" t="s">
        <v>1</v>
      </c>
      <c r="M394" t="s">
        <v>1</v>
      </c>
      <c r="N394" t="s">
        <v>1</v>
      </c>
      <c r="O394" t="s">
        <v>1</v>
      </c>
      <c r="P394" t="s">
        <v>1</v>
      </c>
      <c r="Q394" t="s">
        <v>1</v>
      </c>
      <c r="R394" t="s">
        <v>1</v>
      </c>
      <c r="S394" t="s">
        <v>1</v>
      </c>
      <c r="T394" t="s">
        <v>1</v>
      </c>
      <c r="U394" t="s">
        <v>1</v>
      </c>
      <c r="V394" t="s">
        <v>1</v>
      </c>
      <c r="W394" t="s">
        <v>1</v>
      </c>
      <c r="X394" t="s">
        <v>1</v>
      </c>
      <c r="Y394" t="s">
        <v>1</v>
      </c>
      <c r="Z394" t="s">
        <v>1</v>
      </c>
      <c r="AA394" t="s">
        <v>1</v>
      </c>
      <c r="AB394" t="s">
        <v>1</v>
      </c>
      <c r="AC394" t="s">
        <v>1</v>
      </c>
      <c r="AD394" t="s">
        <v>1</v>
      </c>
      <c r="AE394" t="s">
        <v>1</v>
      </c>
      <c r="AF394" t="s">
        <v>1</v>
      </c>
      <c r="AG394" t="s">
        <v>1</v>
      </c>
      <c r="AH394" t="s">
        <v>1</v>
      </c>
      <c r="AI394" t="s">
        <v>1</v>
      </c>
      <c r="AJ394" t="s">
        <v>1</v>
      </c>
      <c r="AK394" t="s">
        <v>1</v>
      </c>
      <c r="AL394" t="s">
        <v>1</v>
      </c>
      <c r="AM394" t="s">
        <v>1</v>
      </c>
      <c r="AN394">
        <v>362</v>
      </c>
      <c r="AO394">
        <f t="shared" si="54"/>
        <v>362</v>
      </c>
      <c r="AP394">
        <f t="shared" si="55"/>
        <v>65</v>
      </c>
      <c r="AQ394">
        <f t="shared" si="56"/>
        <v>65</v>
      </c>
      <c r="AR394" s="26" t="s">
        <v>1355</v>
      </c>
      <c r="AS394" s="26" t="s">
        <v>1356</v>
      </c>
      <c r="AT394" t="s">
        <v>729</v>
      </c>
      <c r="AU394" t="s">
        <v>1</v>
      </c>
      <c r="AV394" t="s">
        <v>1</v>
      </c>
      <c r="AW394">
        <v>12.27</v>
      </c>
      <c r="AX394">
        <v>-2.15</v>
      </c>
      <c r="AY394" t="s">
        <v>737</v>
      </c>
      <c r="BA394" s="3">
        <v>2</v>
      </c>
      <c r="BB394" s="3"/>
      <c r="BC394" s="3"/>
      <c r="BD394" s="3"/>
      <c r="BE394" s="3"/>
      <c r="BF394">
        <v>2000</v>
      </c>
      <c r="BG394" s="24" t="s">
        <v>733</v>
      </c>
      <c r="BH394" s="24" t="s">
        <v>733</v>
      </c>
      <c r="BI394" s="24" t="s">
        <v>733</v>
      </c>
      <c r="BJ394" s="24" t="s">
        <v>732</v>
      </c>
      <c r="BK394" s="24" t="s">
        <v>733</v>
      </c>
      <c r="BL394" s="25" t="s">
        <v>733</v>
      </c>
      <c r="BM394" s="24" t="s">
        <v>733</v>
      </c>
      <c r="BN394" s="24" t="s">
        <v>732</v>
      </c>
      <c r="BO394" s="24" t="s">
        <v>733</v>
      </c>
      <c r="BP394" s="24" t="s">
        <v>733</v>
      </c>
      <c r="BQ394" s="24" t="s">
        <v>945</v>
      </c>
      <c r="BR394" s="24" t="s">
        <v>945</v>
      </c>
      <c r="BS394" s="25" t="s">
        <v>934</v>
      </c>
      <c r="BT394" s="24" t="s">
        <v>934</v>
      </c>
      <c r="BU394" s="24" t="s">
        <v>934</v>
      </c>
      <c r="BV394" s="24" t="s">
        <v>934</v>
      </c>
      <c r="BW394" s="24" t="s">
        <v>934</v>
      </c>
      <c r="BX394" s="24" t="s">
        <v>934</v>
      </c>
      <c r="BY394" s="25" t="s">
        <v>945</v>
      </c>
      <c r="BZ394" t="s">
        <v>445</v>
      </c>
      <c r="CB394" t="s">
        <v>1</v>
      </c>
      <c r="CC394" s="4" t="s">
        <v>1</v>
      </c>
      <c r="CD394" s="4"/>
      <c r="CE394" s="4"/>
      <c r="CF394" t="s">
        <v>1</v>
      </c>
      <c r="CG394" t="s">
        <v>1</v>
      </c>
      <c r="CH394" t="s">
        <v>805</v>
      </c>
      <c r="CI394" s="28">
        <v>1.8</v>
      </c>
      <c r="CJ394" s="10" t="s">
        <v>1442</v>
      </c>
      <c r="CK394" s="9" t="s">
        <v>1</v>
      </c>
      <c r="CL394" s="4" t="s">
        <v>1</v>
      </c>
      <c r="CM394" t="s">
        <v>847</v>
      </c>
      <c r="CN394" s="4">
        <v>68</v>
      </c>
      <c r="CO394" s="4" t="s">
        <v>1</v>
      </c>
      <c r="CP394" s="4" t="s">
        <v>1</v>
      </c>
      <c r="CQ394" s="4" t="s">
        <v>1</v>
      </c>
      <c r="CR394" s="4" t="s">
        <v>1</v>
      </c>
      <c r="CS394" s="4" t="s">
        <v>1</v>
      </c>
      <c r="CT394" s="4" t="s">
        <v>1</v>
      </c>
      <c r="CU394" s="4" t="s">
        <v>1</v>
      </c>
      <c r="CV394" s="37" t="s">
        <v>855</v>
      </c>
      <c r="CW394">
        <v>100</v>
      </c>
      <c r="CX394">
        <v>0</v>
      </c>
      <c r="CY394">
        <v>30</v>
      </c>
      <c r="CZ394" s="26" t="s">
        <v>1358</v>
      </c>
      <c r="DA394" t="s">
        <v>734</v>
      </c>
      <c r="DB394">
        <v>62</v>
      </c>
      <c r="DC394">
        <v>0</v>
      </c>
      <c r="DD394">
        <v>30</v>
      </c>
      <c r="DE394" s="26" t="s">
        <v>1358</v>
      </c>
      <c r="DF394" t="s">
        <v>735</v>
      </c>
      <c r="DG394">
        <v>28</v>
      </c>
      <c r="DH394">
        <v>0</v>
      </c>
      <c r="DI394">
        <v>30</v>
      </c>
      <c r="DJ394" s="26" t="s">
        <v>1358</v>
      </c>
      <c r="DK394" t="s">
        <v>736</v>
      </c>
      <c r="DL394">
        <v>10</v>
      </c>
      <c r="DM394">
        <v>0</v>
      </c>
      <c r="DN394">
        <v>30</v>
      </c>
      <c r="DO394" s="26" t="s">
        <v>1358</v>
      </c>
      <c r="DP394" t="s">
        <v>1</v>
      </c>
      <c r="DQ394" t="s">
        <v>1</v>
      </c>
      <c r="DR394" t="s">
        <v>1</v>
      </c>
      <c r="DS394" t="s">
        <v>1</v>
      </c>
      <c r="DT394" t="s">
        <v>1</v>
      </c>
      <c r="DU394" t="s">
        <v>1</v>
      </c>
      <c r="EA394" t="s">
        <v>1</v>
      </c>
      <c r="EB394" t="s">
        <v>1</v>
      </c>
      <c r="EC394" t="s">
        <v>1</v>
      </c>
      <c r="ED394" t="s">
        <v>1</v>
      </c>
      <c r="EE394" t="s">
        <v>1</v>
      </c>
      <c r="FZ394" t="s">
        <v>806</v>
      </c>
      <c r="GA394">
        <v>796</v>
      </c>
      <c r="GE394" s="26" t="s">
        <v>1358</v>
      </c>
      <c r="HA394" s="5" t="s">
        <v>1</v>
      </c>
      <c r="HB394" s="4" t="s">
        <v>1</v>
      </c>
      <c r="HC394" t="s">
        <v>1</v>
      </c>
      <c r="HD394" t="s">
        <v>1</v>
      </c>
      <c r="HE394" t="s">
        <v>1</v>
      </c>
      <c r="HF394" s="5" t="s">
        <v>1</v>
      </c>
      <c r="HG394" s="4" t="s">
        <v>1</v>
      </c>
      <c r="HH394" t="s">
        <v>1</v>
      </c>
      <c r="HI394" t="s">
        <v>1</v>
      </c>
      <c r="HJ394" t="s">
        <v>1</v>
      </c>
      <c r="HK394" t="s">
        <v>1</v>
      </c>
      <c r="HL394" t="s">
        <v>1</v>
      </c>
      <c r="HM394" t="s">
        <v>1</v>
      </c>
      <c r="HN394" t="s">
        <v>1</v>
      </c>
      <c r="HO394" t="s">
        <v>1</v>
      </c>
      <c r="HP394" t="s">
        <v>1</v>
      </c>
      <c r="HZ394" t="s">
        <v>1</v>
      </c>
      <c r="IA394" t="s">
        <v>1</v>
      </c>
      <c r="IB394" s="10" t="s">
        <v>1</v>
      </c>
      <c r="IC394" s="10"/>
      <c r="ID394" s="10"/>
      <c r="IE394" s="10" t="s">
        <v>1</v>
      </c>
      <c r="IF394" s="10" t="s">
        <v>1</v>
      </c>
      <c r="IG394" s="10"/>
      <c r="IH394" s="10"/>
      <c r="II394" s="10"/>
      <c r="IJ394" s="10"/>
      <c r="IK394" s="10"/>
      <c r="IL394" s="10"/>
      <c r="IM394" s="10"/>
      <c r="IN394" s="10"/>
      <c r="IO394" s="10"/>
      <c r="IP394" s="10"/>
      <c r="IQ394" s="10"/>
      <c r="IR394" s="10"/>
      <c r="IS394" t="s">
        <v>978</v>
      </c>
      <c r="IT394">
        <v>50</v>
      </c>
      <c r="IW394" t="s">
        <v>1</v>
      </c>
      <c r="IX394" t="s">
        <v>1</v>
      </c>
      <c r="IY394" t="s">
        <v>1</v>
      </c>
      <c r="IZ394" t="s">
        <v>1</v>
      </c>
      <c r="JA394" t="s">
        <v>1065</v>
      </c>
      <c r="JB394" s="3">
        <v>5</v>
      </c>
      <c r="JC394" t="s">
        <v>1</v>
      </c>
      <c r="JD394" s="4" t="s">
        <v>1</v>
      </c>
      <c r="JE394" t="s">
        <v>810</v>
      </c>
      <c r="JF394">
        <v>100</v>
      </c>
      <c r="JR394" t="s">
        <v>1066</v>
      </c>
      <c r="JS394">
        <v>28.3</v>
      </c>
      <c r="JU394" t="s">
        <v>1</v>
      </c>
      <c r="JW394" t="s">
        <v>1</v>
      </c>
      <c r="JX394">
        <v>0</v>
      </c>
      <c r="JY394">
        <v>50</v>
      </c>
      <c r="JZ394" t="s">
        <v>800</v>
      </c>
      <c r="KA394" t="s">
        <v>446</v>
      </c>
      <c r="KB394" t="s">
        <v>738</v>
      </c>
      <c r="KC394" t="s">
        <v>1</v>
      </c>
      <c r="KD394" t="s">
        <v>1</v>
      </c>
      <c r="KE394" s="1" t="s">
        <v>1</v>
      </c>
      <c r="KF394" t="s">
        <v>1</v>
      </c>
      <c r="KG394" t="s">
        <v>1</v>
      </c>
      <c r="KH394" t="s">
        <v>1</v>
      </c>
      <c r="KI394" t="s">
        <v>1</v>
      </c>
      <c r="KJ394" t="s">
        <v>1</v>
      </c>
      <c r="KK394" t="s">
        <v>1</v>
      </c>
    </row>
    <row r="395" spans="1:297" x14ac:dyDescent="0.2">
      <c r="A395">
        <v>363</v>
      </c>
      <c r="B395" t="s">
        <v>705</v>
      </c>
      <c r="C395" t="s">
        <v>449</v>
      </c>
      <c r="D395" t="s">
        <v>692</v>
      </c>
      <c r="E395">
        <v>65</v>
      </c>
      <c r="F395" t="s">
        <v>443</v>
      </c>
      <c r="G395" t="s">
        <v>1</v>
      </c>
      <c r="H395" s="26" t="s">
        <v>1420</v>
      </c>
      <c r="I395" t="s">
        <v>1</v>
      </c>
      <c r="J395" t="s">
        <v>1</v>
      </c>
      <c r="K395" t="s">
        <v>1</v>
      </c>
      <c r="L395" t="s">
        <v>1</v>
      </c>
      <c r="M395" t="s">
        <v>1</v>
      </c>
      <c r="N395" t="s">
        <v>1</v>
      </c>
      <c r="O395" t="s">
        <v>1</v>
      </c>
      <c r="P395" t="s">
        <v>1</v>
      </c>
      <c r="Q395" t="s">
        <v>1</v>
      </c>
      <c r="R395" t="s">
        <v>1</v>
      </c>
      <c r="S395" t="s">
        <v>1</v>
      </c>
      <c r="T395" t="s">
        <v>1</v>
      </c>
      <c r="U395" t="s">
        <v>1</v>
      </c>
      <c r="V395" t="s">
        <v>1</v>
      </c>
      <c r="W395" t="s">
        <v>1</v>
      </c>
      <c r="X395" t="s">
        <v>1</v>
      </c>
      <c r="Y395" t="s">
        <v>1</v>
      </c>
      <c r="Z395" t="s">
        <v>1</v>
      </c>
      <c r="AA395" t="s">
        <v>1</v>
      </c>
      <c r="AB395" t="s">
        <v>1</v>
      </c>
      <c r="AC395" t="s">
        <v>1</v>
      </c>
      <c r="AD395" t="s">
        <v>1</v>
      </c>
      <c r="AE395" t="s">
        <v>1</v>
      </c>
      <c r="AF395" t="s">
        <v>1</v>
      </c>
      <c r="AG395" t="s">
        <v>1</v>
      </c>
      <c r="AH395" t="s">
        <v>1</v>
      </c>
      <c r="AI395" t="s">
        <v>1</v>
      </c>
      <c r="AJ395" t="s">
        <v>1</v>
      </c>
      <c r="AK395" t="s">
        <v>1</v>
      </c>
      <c r="AL395" t="s">
        <v>1</v>
      </c>
      <c r="AM395" t="s">
        <v>1</v>
      </c>
      <c r="AN395">
        <v>363</v>
      </c>
      <c r="AO395">
        <f t="shared" si="54"/>
        <v>363</v>
      </c>
      <c r="AP395">
        <f t="shared" si="55"/>
        <v>65</v>
      </c>
      <c r="AQ395">
        <f t="shared" si="56"/>
        <v>65</v>
      </c>
      <c r="AR395" s="26" t="s">
        <v>1355</v>
      </c>
      <c r="AS395" s="26" t="s">
        <v>1356</v>
      </c>
      <c r="AT395" t="s">
        <v>729</v>
      </c>
      <c r="AU395" t="s">
        <v>1</v>
      </c>
      <c r="AV395" t="s">
        <v>1</v>
      </c>
      <c r="AW395">
        <v>12.27</v>
      </c>
      <c r="AX395">
        <v>-2.15</v>
      </c>
      <c r="AY395" t="s">
        <v>737</v>
      </c>
      <c r="BA395" s="3">
        <v>2</v>
      </c>
      <c r="BB395" s="3"/>
      <c r="BC395" s="3"/>
      <c r="BD395" s="3"/>
      <c r="BE395" s="3"/>
      <c r="BF395">
        <v>2000</v>
      </c>
      <c r="BG395" s="24" t="s">
        <v>733</v>
      </c>
      <c r="BH395" s="24" t="s">
        <v>733</v>
      </c>
      <c r="BI395" s="24" t="s">
        <v>733</v>
      </c>
      <c r="BJ395" s="24" t="s">
        <v>732</v>
      </c>
      <c r="BK395" s="24" t="s">
        <v>733</v>
      </c>
      <c r="BL395" s="25" t="s">
        <v>733</v>
      </c>
      <c r="BM395" s="24" t="s">
        <v>733</v>
      </c>
      <c r="BN395" s="24" t="s">
        <v>732</v>
      </c>
      <c r="BO395" s="24" t="s">
        <v>733</v>
      </c>
      <c r="BP395" s="24" t="s">
        <v>733</v>
      </c>
      <c r="BQ395" s="24" t="s">
        <v>945</v>
      </c>
      <c r="BR395" s="24" t="s">
        <v>945</v>
      </c>
      <c r="BS395" s="25" t="s">
        <v>934</v>
      </c>
      <c r="BT395" s="24" t="s">
        <v>934</v>
      </c>
      <c r="BU395" s="24" t="s">
        <v>934</v>
      </c>
      <c r="BV395" s="24" t="s">
        <v>934</v>
      </c>
      <c r="BW395" s="24" t="s">
        <v>934</v>
      </c>
      <c r="BX395" s="24" t="s">
        <v>934</v>
      </c>
      <c r="BY395" s="25" t="s">
        <v>945</v>
      </c>
      <c r="BZ395" t="s">
        <v>445</v>
      </c>
      <c r="CB395" t="s">
        <v>1</v>
      </c>
      <c r="CC395" s="4" t="s">
        <v>1</v>
      </c>
      <c r="CD395" s="4"/>
      <c r="CE395" s="4"/>
      <c r="CF395" t="s">
        <v>1</v>
      </c>
      <c r="CG395" t="s">
        <v>1</v>
      </c>
      <c r="CH395" t="s">
        <v>805</v>
      </c>
      <c r="CI395" s="28">
        <v>1.8</v>
      </c>
      <c r="CJ395" s="10" t="s">
        <v>1442</v>
      </c>
      <c r="CK395" s="9" t="s">
        <v>1</v>
      </c>
      <c r="CL395" s="4" t="s">
        <v>1</v>
      </c>
      <c r="CM395" t="s">
        <v>847</v>
      </c>
      <c r="CN395" s="4">
        <v>38</v>
      </c>
      <c r="CO395" s="4" t="s">
        <v>1</v>
      </c>
      <c r="CP395" s="4" t="s">
        <v>1</v>
      </c>
      <c r="CQ395" s="4" t="s">
        <v>1</v>
      </c>
      <c r="CR395" s="4" t="s">
        <v>1</v>
      </c>
      <c r="CS395" s="4" t="s">
        <v>1</v>
      </c>
      <c r="CT395" s="4" t="s">
        <v>1</v>
      </c>
      <c r="CU395" s="4" t="s">
        <v>1</v>
      </c>
      <c r="CV395" s="37" t="s">
        <v>855</v>
      </c>
      <c r="CW395">
        <v>100</v>
      </c>
      <c r="CX395">
        <v>0</v>
      </c>
      <c r="CY395">
        <v>30</v>
      </c>
      <c r="CZ395" s="26" t="s">
        <v>1358</v>
      </c>
      <c r="DA395" t="s">
        <v>734</v>
      </c>
      <c r="DB395">
        <v>62</v>
      </c>
      <c r="DC395">
        <v>0</v>
      </c>
      <c r="DD395">
        <v>30</v>
      </c>
      <c r="DE395" s="26" t="s">
        <v>1358</v>
      </c>
      <c r="DF395" t="s">
        <v>735</v>
      </c>
      <c r="DG395">
        <v>28</v>
      </c>
      <c r="DH395">
        <v>0</v>
      </c>
      <c r="DI395">
        <v>30</v>
      </c>
      <c r="DJ395" s="26" t="s">
        <v>1358</v>
      </c>
      <c r="DK395" t="s">
        <v>736</v>
      </c>
      <c r="DL395">
        <v>10</v>
      </c>
      <c r="DM395">
        <v>0</v>
      </c>
      <c r="DN395">
        <v>30</v>
      </c>
      <c r="DO395" s="26" t="s">
        <v>1358</v>
      </c>
      <c r="DP395" t="s">
        <v>1</v>
      </c>
      <c r="DQ395" t="s">
        <v>1</v>
      </c>
      <c r="DR395" t="s">
        <v>1</v>
      </c>
      <c r="DS395" t="s">
        <v>1</v>
      </c>
      <c r="DT395" t="s">
        <v>1</v>
      </c>
      <c r="DU395" t="s">
        <v>1</v>
      </c>
      <c r="EA395" t="s">
        <v>1</v>
      </c>
      <c r="EB395" t="s">
        <v>1</v>
      </c>
      <c r="EC395" t="s">
        <v>1</v>
      </c>
      <c r="ED395" t="s">
        <v>1</v>
      </c>
      <c r="EE395" t="s">
        <v>1</v>
      </c>
      <c r="FZ395" t="s">
        <v>806</v>
      </c>
      <c r="GA395">
        <v>796</v>
      </c>
      <c r="GE395" s="26" t="s">
        <v>1358</v>
      </c>
      <c r="HA395" s="5" t="s">
        <v>1</v>
      </c>
      <c r="HB395" s="4" t="s">
        <v>1</v>
      </c>
      <c r="HC395" t="s">
        <v>1</v>
      </c>
      <c r="HD395" t="s">
        <v>1</v>
      </c>
      <c r="HE395" t="s">
        <v>1</v>
      </c>
      <c r="HF395" s="5" t="s">
        <v>1</v>
      </c>
      <c r="HG395" s="4" t="s">
        <v>1</v>
      </c>
      <c r="HH395" t="s">
        <v>1</v>
      </c>
      <c r="HI395" t="s">
        <v>1</v>
      </c>
      <c r="HJ395" t="s">
        <v>1</v>
      </c>
      <c r="HK395" t="s">
        <v>1</v>
      </c>
      <c r="HL395" t="s">
        <v>1</v>
      </c>
      <c r="HM395" t="s">
        <v>1</v>
      </c>
      <c r="HN395" t="s">
        <v>1</v>
      </c>
      <c r="HO395" t="s">
        <v>1</v>
      </c>
      <c r="HP395" t="s">
        <v>1</v>
      </c>
      <c r="HZ395" t="s">
        <v>1</v>
      </c>
      <c r="IA395" t="s">
        <v>1</v>
      </c>
      <c r="IB395" s="10" t="s">
        <v>1</v>
      </c>
      <c r="IC395" s="10"/>
      <c r="ID395" s="10"/>
      <c r="IE395" s="10" t="s">
        <v>1</v>
      </c>
      <c r="IF395" s="10" t="s">
        <v>1</v>
      </c>
      <c r="IG395" s="10"/>
      <c r="IH395" s="10"/>
      <c r="II395" s="10"/>
      <c r="IJ395" s="10"/>
      <c r="IK395" s="10"/>
      <c r="IL395" s="10"/>
      <c r="IM395" s="10"/>
      <c r="IN395" s="10"/>
      <c r="IO395" s="10"/>
      <c r="IP395" s="10"/>
      <c r="IQ395" s="10"/>
      <c r="IR395" s="10"/>
      <c r="IS395" t="s">
        <v>1</v>
      </c>
      <c r="IT395" t="s">
        <v>1</v>
      </c>
      <c r="IW395" t="s">
        <v>1</v>
      </c>
      <c r="IX395" t="s">
        <v>1</v>
      </c>
      <c r="IY395" t="s">
        <v>1</v>
      </c>
      <c r="IZ395" t="s">
        <v>1</v>
      </c>
      <c r="JA395" t="s">
        <v>1065</v>
      </c>
      <c r="JB395" s="3">
        <v>5</v>
      </c>
      <c r="JC395" t="s">
        <v>1</v>
      </c>
      <c r="JD395" s="4" t="s">
        <v>1</v>
      </c>
      <c r="JE395" t="s">
        <v>810</v>
      </c>
      <c r="JF395">
        <v>100</v>
      </c>
      <c r="JR395" t="s">
        <v>1066</v>
      </c>
      <c r="JS395">
        <v>31</v>
      </c>
      <c r="JU395" t="s">
        <v>1</v>
      </c>
      <c r="JW395" t="s">
        <v>1</v>
      </c>
      <c r="JX395">
        <v>0</v>
      </c>
      <c r="JY395">
        <v>50</v>
      </c>
      <c r="JZ395" t="s">
        <v>800</v>
      </c>
      <c r="KA395" t="s">
        <v>446</v>
      </c>
      <c r="KB395" t="s">
        <v>738</v>
      </c>
      <c r="KC395" t="s">
        <v>1</v>
      </c>
      <c r="KD395" t="s">
        <v>1</v>
      </c>
      <c r="KE395" s="1" t="s">
        <v>1</v>
      </c>
      <c r="KF395" t="s">
        <v>1</v>
      </c>
      <c r="KG395" t="s">
        <v>1</v>
      </c>
      <c r="KH395" t="s">
        <v>1</v>
      </c>
      <c r="KI395" t="s">
        <v>1</v>
      </c>
      <c r="KJ395" t="s">
        <v>1</v>
      </c>
      <c r="KK395" t="s">
        <v>1</v>
      </c>
    </row>
    <row r="396" spans="1:297" x14ac:dyDescent="0.2">
      <c r="A396">
        <v>364</v>
      </c>
      <c r="B396" t="s">
        <v>705</v>
      </c>
      <c r="C396" t="s">
        <v>453</v>
      </c>
      <c r="D396" t="s">
        <v>692</v>
      </c>
      <c r="E396">
        <v>65</v>
      </c>
      <c r="F396" t="s">
        <v>443</v>
      </c>
      <c r="G396" t="s">
        <v>1</v>
      </c>
      <c r="H396" s="26" t="s">
        <v>1420</v>
      </c>
      <c r="I396" t="s">
        <v>1</v>
      </c>
      <c r="J396" t="s">
        <v>1</v>
      </c>
      <c r="K396" t="s">
        <v>1</v>
      </c>
      <c r="L396" t="s">
        <v>1</v>
      </c>
      <c r="M396" t="s">
        <v>1</v>
      </c>
      <c r="N396" t="s">
        <v>1</v>
      </c>
      <c r="O396" t="s">
        <v>1</v>
      </c>
      <c r="P396" t="s">
        <v>1</v>
      </c>
      <c r="Q396" t="s">
        <v>1</v>
      </c>
      <c r="R396" t="s">
        <v>1</v>
      </c>
      <c r="S396" t="s">
        <v>1</v>
      </c>
      <c r="T396" t="s">
        <v>1</v>
      </c>
      <c r="U396" t="s">
        <v>1</v>
      </c>
      <c r="V396" t="s">
        <v>1</v>
      </c>
      <c r="W396" t="s">
        <v>1</v>
      </c>
      <c r="X396" t="s">
        <v>1</v>
      </c>
      <c r="Y396" t="s">
        <v>1</v>
      </c>
      <c r="Z396" t="s">
        <v>1</v>
      </c>
      <c r="AA396" t="s">
        <v>1</v>
      </c>
      <c r="AB396" t="s">
        <v>1</v>
      </c>
      <c r="AC396" t="s">
        <v>1</v>
      </c>
      <c r="AD396" t="s">
        <v>1</v>
      </c>
      <c r="AE396" t="s">
        <v>1</v>
      </c>
      <c r="AF396" t="s">
        <v>1</v>
      </c>
      <c r="AG396" t="s">
        <v>1</v>
      </c>
      <c r="AH396" t="s">
        <v>1</v>
      </c>
      <c r="AI396" t="s">
        <v>1</v>
      </c>
      <c r="AJ396" t="s">
        <v>1</v>
      </c>
      <c r="AK396" t="s">
        <v>1</v>
      </c>
      <c r="AL396" t="s">
        <v>1</v>
      </c>
      <c r="AM396" t="s">
        <v>1</v>
      </c>
      <c r="AN396">
        <v>364</v>
      </c>
      <c r="AO396">
        <f t="shared" si="54"/>
        <v>364</v>
      </c>
      <c r="AP396">
        <f t="shared" si="55"/>
        <v>65</v>
      </c>
      <c r="AQ396">
        <f t="shared" si="56"/>
        <v>65</v>
      </c>
      <c r="AR396" s="26" t="s">
        <v>1355</v>
      </c>
      <c r="AS396" s="26" t="s">
        <v>1356</v>
      </c>
      <c r="AT396" t="s">
        <v>729</v>
      </c>
      <c r="AU396" t="s">
        <v>1</v>
      </c>
      <c r="AV396" t="s">
        <v>1</v>
      </c>
      <c r="AW396">
        <v>12.27</v>
      </c>
      <c r="AX396">
        <v>-2.15</v>
      </c>
      <c r="AY396" t="s">
        <v>737</v>
      </c>
      <c r="BA396" s="3">
        <v>2</v>
      </c>
      <c r="BB396" s="3"/>
      <c r="BC396" s="3"/>
      <c r="BD396" s="3"/>
      <c r="BE396" s="3"/>
      <c r="BF396">
        <v>2000</v>
      </c>
      <c r="BG396" s="24" t="s">
        <v>733</v>
      </c>
      <c r="BH396" s="24" t="s">
        <v>733</v>
      </c>
      <c r="BI396" s="24" t="s">
        <v>733</v>
      </c>
      <c r="BJ396" s="24" t="s">
        <v>732</v>
      </c>
      <c r="BK396" s="24" t="s">
        <v>733</v>
      </c>
      <c r="BL396" s="25" t="s">
        <v>733</v>
      </c>
      <c r="BM396" s="24" t="s">
        <v>733</v>
      </c>
      <c r="BN396" s="24" t="s">
        <v>732</v>
      </c>
      <c r="BO396" s="24" t="s">
        <v>733</v>
      </c>
      <c r="BP396" s="24" t="s">
        <v>733</v>
      </c>
      <c r="BQ396" s="24" t="s">
        <v>945</v>
      </c>
      <c r="BR396" s="24" t="s">
        <v>945</v>
      </c>
      <c r="BS396" s="25" t="s">
        <v>934</v>
      </c>
      <c r="BT396" s="24" t="s">
        <v>934</v>
      </c>
      <c r="BU396" s="24" t="s">
        <v>934</v>
      </c>
      <c r="BV396" s="24" t="s">
        <v>934</v>
      </c>
      <c r="BW396" s="24" t="s">
        <v>934</v>
      </c>
      <c r="BX396" s="24" t="s">
        <v>934</v>
      </c>
      <c r="BY396" s="25" t="s">
        <v>945</v>
      </c>
      <c r="BZ396" t="s">
        <v>445</v>
      </c>
      <c r="CB396" t="s">
        <v>1</v>
      </c>
      <c r="CC396" s="4" t="s">
        <v>1</v>
      </c>
      <c r="CD396" s="4"/>
      <c r="CE396" s="4"/>
      <c r="CF396" t="s">
        <v>1</v>
      </c>
      <c r="CG396" t="s">
        <v>1</v>
      </c>
      <c r="CH396" t="s">
        <v>805</v>
      </c>
      <c r="CI396" s="28">
        <v>1.8</v>
      </c>
      <c r="CJ396" s="10" t="s">
        <v>1442</v>
      </c>
      <c r="CK396" s="9" t="s">
        <v>1</v>
      </c>
      <c r="CL396" s="4" t="s">
        <v>1</v>
      </c>
      <c r="CM396" t="s">
        <v>847</v>
      </c>
      <c r="CN396" s="4">
        <v>68</v>
      </c>
      <c r="CO396" s="4" t="s">
        <v>1</v>
      </c>
      <c r="CP396" s="4" t="s">
        <v>1</v>
      </c>
      <c r="CQ396" s="4" t="s">
        <v>1</v>
      </c>
      <c r="CR396" s="4" t="s">
        <v>1</v>
      </c>
      <c r="CS396" s="4" t="s">
        <v>1</v>
      </c>
      <c r="CT396" s="4" t="s">
        <v>1</v>
      </c>
      <c r="CU396" s="4" t="s">
        <v>1</v>
      </c>
      <c r="CV396" s="37" t="s">
        <v>855</v>
      </c>
      <c r="CW396">
        <v>100</v>
      </c>
      <c r="CX396">
        <v>0</v>
      </c>
      <c r="CY396">
        <v>30</v>
      </c>
      <c r="CZ396" s="26" t="s">
        <v>1358</v>
      </c>
      <c r="DA396" t="s">
        <v>734</v>
      </c>
      <c r="DB396">
        <v>62</v>
      </c>
      <c r="DC396">
        <v>0</v>
      </c>
      <c r="DD396">
        <v>30</v>
      </c>
      <c r="DE396" s="26" t="s">
        <v>1358</v>
      </c>
      <c r="DF396" t="s">
        <v>735</v>
      </c>
      <c r="DG396">
        <v>28</v>
      </c>
      <c r="DH396">
        <v>0</v>
      </c>
      <c r="DI396">
        <v>30</v>
      </c>
      <c r="DJ396" s="26" t="s">
        <v>1358</v>
      </c>
      <c r="DK396" t="s">
        <v>736</v>
      </c>
      <c r="DL396">
        <v>10</v>
      </c>
      <c r="DM396">
        <v>0</v>
      </c>
      <c r="DN396">
        <v>30</v>
      </c>
      <c r="DO396" s="26" t="s">
        <v>1358</v>
      </c>
      <c r="DP396" t="s">
        <v>1</v>
      </c>
      <c r="DQ396" t="s">
        <v>1</v>
      </c>
      <c r="DR396" t="s">
        <v>1</v>
      </c>
      <c r="DS396" t="s">
        <v>1</v>
      </c>
      <c r="DT396" t="s">
        <v>1</v>
      </c>
      <c r="DU396" t="s">
        <v>1</v>
      </c>
      <c r="EA396" t="s">
        <v>1</v>
      </c>
      <c r="EB396" t="s">
        <v>1</v>
      </c>
      <c r="EC396" t="s">
        <v>1</v>
      </c>
      <c r="ED396" t="s">
        <v>1</v>
      </c>
      <c r="EE396" t="s">
        <v>1</v>
      </c>
      <c r="FZ396" t="s">
        <v>806</v>
      </c>
      <c r="GA396">
        <v>796</v>
      </c>
      <c r="GE396" s="26" t="s">
        <v>1358</v>
      </c>
      <c r="HA396" s="5" t="s">
        <v>1</v>
      </c>
      <c r="HB396" s="4" t="s">
        <v>1</v>
      </c>
      <c r="HC396" t="s">
        <v>1</v>
      </c>
      <c r="HD396" t="s">
        <v>1</v>
      </c>
      <c r="HE396" t="s">
        <v>1</v>
      </c>
      <c r="HF396" s="5" t="s">
        <v>1</v>
      </c>
      <c r="HG396" s="4" t="s">
        <v>1</v>
      </c>
      <c r="HH396" t="s">
        <v>1</v>
      </c>
      <c r="HI396" t="s">
        <v>1</v>
      </c>
      <c r="HJ396" t="s">
        <v>1</v>
      </c>
      <c r="HK396" t="s">
        <v>1</v>
      </c>
      <c r="HL396" t="s">
        <v>1</v>
      </c>
      <c r="HM396" t="s">
        <v>1</v>
      </c>
      <c r="HN396" t="s">
        <v>1</v>
      </c>
      <c r="HO396" t="s">
        <v>1</v>
      </c>
      <c r="HP396" t="s">
        <v>1</v>
      </c>
      <c r="HZ396" t="s">
        <v>1</v>
      </c>
      <c r="IA396" t="s">
        <v>1</v>
      </c>
      <c r="IB396" s="10" t="s">
        <v>1</v>
      </c>
      <c r="IC396" s="10"/>
      <c r="ID396" s="10"/>
      <c r="IE396" s="10" t="s">
        <v>1</v>
      </c>
      <c r="IF396" s="10" t="s">
        <v>1</v>
      </c>
      <c r="IG396" s="10"/>
      <c r="IH396" s="10"/>
      <c r="II396" s="10"/>
      <c r="IJ396" s="10"/>
      <c r="IK396" s="10"/>
      <c r="IL396" s="10"/>
      <c r="IM396" s="10"/>
      <c r="IN396" s="10"/>
      <c r="IO396" s="10"/>
      <c r="IP396" s="10"/>
      <c r="IQ396" s="10"/>
      <c r="IR396" s="10"/>
      <c r="IS396" t="s">
        <v>978</v>
      </c>
      <c r="IT396">
        <v>50</v>
      </c>
      <c r="IW396" t="s">
        <v>1</v>
      </c>
      <c r="IX396" t="s">
        <v>1</v>
      </c>
      <c r="IY396" t="s">
        <v>1</v>
      </c>
      <c r="IZ396" t="s">
        <v>1</v>
      </c>
      <c r="JA396" t="s">
        <v>1065</v>
      </c>
      <c r="JB396" s="3">
        <v>5</v>
      </c>
      <c r="JC396" t="s">
        <v>1</v>
      </c>
      <c r="JD396" s="4" t="s">
        <v>1</v>
      </c>
      <c r="JE396" t="s">
        <v>810</v>
      </c>
      <c r="JF396">
        <v>100</v>
      </c>
      <c r="JR396" t="s">
        <v>1066</v>
      </c>
      <c r="JS396">
        <v>21.7</v>
      </c>
      <c r="JU396" t="s">
        <v>1</v>
      </c>
      <c r="JW396" t="s">
        <v>1</v>
      </c>
      <c r="JX396">
        <v>0</v>
      </c>
      <c r="JY396">
        <v>50</v>
      </c>
      <c r="JZ396" t="s">
        <v>800</v>
      </c>
      <c r="KA396" t="s">
        <v>446</v>
      </c>
      <c r="KB396" t="s">
        <v>738</v>
      </c>
      <c r="KC396" t="s">
        <v>1</v>
      </c>
      <c r="KD396" t="s">
        <v>1</v>
      </c>
      <c r="KE396" s="1" t="s">
        <v>1</v>
      </c>
      <c r="KF396" t="s">
        <v>1</v>
      </c>
      <c r="KG396" t="s">
        <v>1</v>
      </c>
      <c r="KH396" t="s">
        <v>1</v>
      </c>
      <c r="KI396" t="s">
        <v>1</v>
      </c>
      <c r="KJ396" t="s">
        <v>1</v>
      </c>
      <c r="KK396" t="s">
        <v>1</v>
      </c>
    </row>
    <row r="397" spans="1:297" x14ac:dyDescent="0.2">
      <c r="A397">
        <v>365</v>
      </c>
      <c r="B397" t="s">
        <v>705</v>
      </c>
      <c r="C397" t="s">
        <v>454</v>
      </c>
      <c r="D397" t="s">
        <v>692</v>
      </c>
      <c r="E397">
        <v>65</v>
      </c>
      <c r="F397" t="s">
        <v>443</v>
      </c>
      <c r="G397" t="s">
        <v>1</v>
      </c>
      <c r="H397" s="26" t="s">
        <v>1420</v>
      </c>
      <c r="I397" t="s">
        <v>1</v>
      </c>
      <c r="J397" t="s">
        <v>1</v>
      </c>
      <c r="K397" t="s">
        <v>1</v>
      </c>
      <c r="L397" t="s">
        <v>1</v>
      </c>
      <c r="M397" t="s">
        <v>1</v>
      </c>
      <c r="N397" t="s">
        <v>1</v>
      </c>
      <c r="O397" t="s">
        <v>1</v>
      </c>
      <c r="P397" t="s">
        <v>1</v>
      </c>
      <c r="Q397" t="s">
        <v>1</v>
      </c>
      <c r="R397" t="s">
        <v>1</v>
      </c>
      <c r="S397" t="s">
        <v>1</v>
      </c>
      <c r="T397" t="s">
        <v>1</v>
      </c>
      <c r="U397" t="s">
        <v>1</v>
      </c>
      <c r="V397" t="s">
        <v>1</v>
      </c>
      <c r="W397" t="s">
        <v>1</v>
      </c>
      <c r="X397" t="s">
        <v>1</v>
      </c>
      <c r="Y397" t="s">
        <v>1</v>
      </c>
      <c r="Z397" t="s">
        <v>1</v>
      </c>
      <c r="AA397" t="s">
        <v>1</v>
      </c>
      <c r="AB397" t="s">
        <v>1</v>
      </c>
      <c r="AC397" t="s">
        <v>1</v>
      </c>
      <c r="AD397" t="s">
        <v>1</v>
      </c>
      <c r="AE397" t="s">
        <v>1</v>
      </c>
      <c r="AF397" t="s">
        <v>1</v>
      </c>
      <c r="AG397" t="s">
        <v>1</v>
      </c>
      <c r="AH397" t="s">
        <v>1</v>
      </c>
      <c r="AI397" t="s">
        <v>1</v>
      </c>
      <c r="AJ397" t="s">
        <v>1</v>
      </c>
      <c r="AK397" t="s">
        <v>1</v>
      </c>
      <c r="AL397" t="s">
        <v>1</v>
      </c>
      <c r="AM397" t="s">
        <v>1</v>
      </c>
      <c r="AN397">
        <v>365</v>
      </c>
      <c r="AO397">
        <f t="shared" si="54"/>
        <v>365</v>
      </c>
      <c r="AP397">
        <f t="shared" si="55"/>
        <v>65</v>
      </c>
      <c r="AQ397">
        <f t="shared" si="56"/>
        <v>65</v>
      </c>
      <c r="AR397" s="26" t="s">
        <v>1355</v>
      </c>
      <c r="AS397" s="26" t="s">
        <v>1356</v>
      </c>
      <c r="AT397" t="s">
        <v>729</v>
      </c>
      <c r="AU397" t="s">
        <v>1</v>
      </c>
      <c r="AV397" t="s">
        <v>1</v>
      </c>
      <c r="AW397">
        <v>12.27</v>
      </c>
      <c r="AX397">
        <v>-2.15</v>
      </c>
      <c r="AY397" t="s">
        <v>737</v>
      </c>
      <c r="BA397" s="3">
        <v>2</v>
      </c>
      <c r="BB397" s="3"/>
      <c r="BC397" s="3"/>
      <c r="BD397" s="3"/>
      <c r="BE397" s="3"/>
      <c r="BF397">
        <v>2002</v>
      </c>
      <c r="BG397" s="24" t="s">
        <v>733</v>
      </c>
      <c r="BH397" s="24" t="s">
        <v>733</v>
      </c>
      <c r="BI397" s="24" t="s">
        <v>733</v>
      </c>
      <c r="BJ397" s="24" t="s">
        <v>732</v>
      </c>
      <c r="BK397" s="24" t="s">
        <v>733</v>
      </c>
      <c r="BL397" s="25" t="s">
        <v>733</v>
      </c>
      <c r="BM397" s="24" t="s">
        <v>733</v>
      </c>
      <c r="BN397" s="24" t="s">
        <v>732</v>
      </c>
      <c r="BO397" s="24" t="s">
        <v>733</v>
      </c>
      <c r="BP397" s="24" t="s">
        <v>733</v>
      </c>
      <c r="BQ397" s="24" t="s">
        <v>945</v>
      </c>
      <c r="BR397" s="24" t="s">
        <v>945</v>
      </c>
      <c r="BS397" s="25" t="s">
        <v>934</v>
      </c>
      <c r="BT397" s="24" t="s">
        <v>934</v>
      </c>
      <c r="BU397" s="24" t="s">
        <v>934</v>
      </c>
      <c r="BV397" s="24" t="s">
        <v>934</v>
      </c>
      <c r="BW397" s="24" t="s">
        <v>934</v>
      </c>
      <c r="BX397" s="24" t="s">
        <v>934</v>
      </c>
      <c r="BY397" s="25" t="s">
        <v>945</v>
      </c>
      <c r="BZ397" t="s">
        <v>445</v>
      </c>
      <c r="CB397" t="s">
        <v>1</v>
      </c>
      <c r="CC397" s="4" t="s">
        <v>1</v>
      </c>
      <c r="CD397" s="4"/>
      <c r="CE397" s="4"/>
      <c r="CF397" t="s">
        <v>1</v>
      </c>
      <c r="CG397" t="s">
        <v>1</v>
      </c>
      <c r="CH397" t="s">
        <v>805</v>
      </c>
      <c r="CI397" s="28">
        <v>1.8</v>
      </c>
      <c r="CJ397" s="10" t="s">
        <v>1442</v>
      </c>
      <c r="CK397" s="9" t="s">
        <v>1</v>
      </c>
      <c r="CL397" s="4" t="s">
        <v>1</v>
      </c>
      <c r="CM397" t="s">
        <v>847</v>
      </c>
      <c r="CN397" s="4">
        <f>AVERAGE(57,57)</f>
        <v>57</v>
      </c>
      <c r="CO397" s="4" t="s">
        <v>1</v>
      </c>
      <c r="CP397" s="4" t="s">
        <v>1</v>
      </c>
      <c r="CQ397" s="4" t="s">
        <v>1</v>
      </c>
      <c r="CR397" s="4" t="s">
        <v>1</v>
      </c>
      <c r="CS397" s="4" t="s">
        <v>1</v>
      </c>
      <c r="CT397" s="4" t="s">
        <v>1</v>
      </c>
      <c r="CU397" s="4" t="s">
        <v>1</v>
      </c>
      <c r="CV397" s="37" t="s">
        <v>855</v>
      </c>
      <c r="CW397">
        <v>100</v>
      </c>
      <c r="CX397">
        <v>0</v>
      </c>
      <c r="CY397">
        <v>30</v>
      </c>
      <c r="CZ397" s="26" t="s">
        <v>1358</v>
      </c>
      <c r="DA397" t="s">
        <v>734</v>
      </c>
      <c r="DB397">
        <v>62</v>
      </c>
      <c r="DC397">
        <v>0</v>
      </c>
      <c r="DD397">
        <v>30</v>
      </c>
      <c r="DE397" s="26" t="s">
        <v>1358</v>
      </c>
      <c r="DF397" t="s">
        <v>735</v>
      </c>
      <c r="DG397">
        <v>28</v>
      </c>
      <c r="DH397">
        <v>0</v>
      </c>
      <c r="DI397">
        <v>30</v>
      </c>
      <c r="DJ397" s="26" t="s">
        <v>1358</v>
      </c>
      <c r="DK397" t="s">
        <v>736</v>
      </c>
      <c r="DL397">
        <v>10</v>
      </c>
      <c r="DM397">
        <v>0</v>
      </c>
      <c r="DN397">
        <v>30</v>
      </c>
      <c r="DO397" s="26" t="s">
        <v>1358</v>
      </c>
      <c r="DP397" t="s">
        <v>1</v>
      </c>
      <c r="DQ397" t="s">
        <v>1</v>
      </c>
      <c r="DR397" t="s">
        <v>1</v>
      </c>
      <c r="DS397" t="s">
        <v>1</v>
      </c>
      <c r="DT397" t="s">
        <v>1</v>
      </c>
      <c r="DU397" t="s">
        <v>1</v>
      </c>
      <c r="EA397" t="s">
        <v>1</v>
      </c>
      <c r="EB397" t="s">
        <v>1</v>
      </c>
      <c r="EC397" t="s">
        <v>1</v>
      </c>
      <c r="ED397" t="s">
        <v>1</v>
      </c>
      <c r="EE397" t="s">
        <v>1</v>
      </c>
      <c r="FZ397" t="s">
        <v>806</v>
      </c>
      <c r="GA397">
        <v>726</v>
      </c>
      <c r="GE397" s="26" t="s">
        <v>1358</v>
      </c>
      <c r="HA397" s="5" t="s">
        <v>1</v>
      </c>
      <c r="HB397" s="4" t="s">
        <v>1</v>
      </c>
      <c r="HC397" t="s">
        <v>1</v>
      </c>
      <c r="HD397" t="s">
        <v>1</v>
      </c>
      <c r="HE397" t="s">
        <v>1</v>
      </c>
      <c r="HF397" s="5" t="s">
        <v>1</v>
      </c>
      <c r="HG397" s="4" t="s">
        <v>1</v>
      </c>
      <c r="HH397" t="s">
        <v>1</v>
      </c>
      <c r="HI397" t="s">
        <v>1</v>
      </c>
      <c r="HJ397" t="s">
        <v>1</v>
      </c>
      <c r="HK397" t="s">
        <v>1</v>
      </c>
      <c r="HL397" t="s">
        <v>1</v>
      </c>
      <c r="HM397" t="s">
        <v>1</v>
      </c>
      <c r="HN397" t="s">
        <v>1</v>
      </c>
      <c r="HO397" t="s">
        <v>1</v>
      </c>
      <c r="HP397" t="s">
        <v>1</v>
      </c>
      <c r="HZ397" t="s">
        <v>1</v>
      </c>
      <c r="IA397" t="s">
        <v>1</v>
      </c>
      <c r="IB397" s="10" t="s">
        <v>1</v>
      </c>
      <c r="IC397" s="10"/>
      <c r="ID397" s="10"/>
      <c r="IE397" s="10" t="s">
        <v>1</v>
      </c>
      <c r="IF397" s="10" t="s">
        <v>1</v>
      </c>
      <c r="IG397" s="10"/>
      <c r="IH397" s="10"/>
      <c r="II397" s="10"/>
      <c r="IJ397" s="10"/>
      <c r="IK397" s="10"/>
      <c r="IL397" s="10"/>
      <c r="IM397" s="10"/>
      <c r="IN397" s="10"/>
      <c r="IO397" s="10"/>
      <c r="IP397" s="10"/>
      <c r="IQ397" s="10"/>
      <c r="IR397" s="10"/>
      <c r="IS397" t="s">
        <v>1</v>
      </c>
      <c r="IT397" t="s">
        <v>1</v>
      </c>
      <c r="IW397" t="s">
        <v>1</v>
      </c>
      <c r="IX397" t="s">
        <v>1</v>
      </c>
      <c r="IY397" t="s">
        <v>1</v>
      </c>
      <c r="IZ397" t="s">
        <v>1</v>
      </c>
      <c r="JA397" t="s">
        <v>1065</v>
      </c>
      <c r="JB397" s="3">
        <v>5</v>
      </c>
      <c r="JC397" t="s">
        <v>1</v>
      </c>
      <c r="JD397" s="4" t="s">
        <v>1</v>
      </c>
      <c r="JE397" t="s">
        <v>810</v>
      </c>
      <c r="JF397">
        <v>100</v>
      </c>
      <c r="JR397" t="s">
        <v>1066</v>
      </c>
      <c r="JS397">
        <v>10.6</v>
      </c>
      <c r="JU397" t="s">
        <v>1</v>
      </c>
      <c r="JW397" t="s">
        <v>1</v>
      </c>
      <c r="JX397">
        <v>0</v>
      </c>
      <c r="JY397">
        <v>50</v>
      </c>
      <c r="JZ397" t="s">
        <v>800</v>
      </c>
      <c r="KA397" t="s">
        <v>446</v>
      </c>
      <c r="KB397" t="s">
        <v>738</v>
      </c>
      <c r="KC397" t="s">
        <v>1</v>
      </c>
      <c r="KD397" t="s">
        <v>1</v>
      </c>
      <c r="KE397" s="1" t="s">
        <v>1</v>
      </c>
      <c r="KF397" t="s">
        <v>1</v>
      </c>
      <c r="KG397" t="s">
        <v>1</v>
      </c>
      <c r="KH397" t="s">
        <v>1</v>
      </c>
      <c r="KI397" t="s">
        <v>1</v>
      </c>
      <c r="KJ397" t="s">
        <v>1</v>
      </c>
      <c r="KK397" t="s">
        <v>1</v>
      </c>
    </row>
    <row r="398" spans="1:297" x14ac:dyDescent="0.2">
      <c r="A398">
        <v>366</v>
      </c>
      <c r="B398" t="s">
        <v>705</v>
      </c>
      <c r="C398" t="s">
        <v>455</v>
      </c>
      <c r="D398" t="s">
        <v>692</v>
      </c>
      <c r="E398">
        <v>65</v>
      </c>
      <c r="F398" t="s">
        <v>443</v>
      </c>
      <c r="G398" t="s">
        <v>1</v>
      </c>
      <c r="H398" s="26" t="s">
        <v>1420</v>
      </c>
      <c r="I398" t="s">
        <v>1</v>
      </c>
      <c r="J398" t="s">
        <v>1</v>
      </c>
      <c r="K398" t="s">
        <v>1</v>
      </c>
      <c r="L398" t="s">
        <v>1</v>
      </c>
      <c r="M398" t="s">
        <v>1</v>
      </c>
      <c r="N398" t="s">
        <v>1</v>
      </c>
      <c r="O398" t="s">
        <v>1</v>
      </c>
      <c r="P398" t="s">
        <v>1</v>
      </c>
      <c r="Q398" t="s">
        <v>1</v>
      </c>
      <c r="R398" t="s">
        <v>1</v>
      </c>
      <c r="S398" t="s">
        <v>1</v>
      </c>
      <c r="T398" t="s">
        <v>1</v>
      </c>
      <c r="U398" t="s">
        <v>1</v>
      </c>
      <c r="V398" t="s">
        <v>1</v>
      </c>
      <c r="W398" t="s">
        <v>1</v>
      </c>
      <c r="X398" t="s">
        <v>1</v>
      </c>
      <c r="Y398" t="s">
        <v>1</v>
      </c>
      <c r="Z398" t="s">
        <v>1</v>
      </c>
      <c r="AA398" t="s">
        <v>1</v>
      </c>
      <c r="AB398" t="s">
        <v>1</v>
      </c>
      <c r="AC398" t="s">
        <v>1</v>
      </c>
      <c r="AD398" t="s">
        <v>1</v>
      </c>
      <c r="AE398" t="s">
        <v>1</v>
      </c>
      <c r="AF398" t="s">
        <v>1</v>
      </c>
      <c r="AG398" t="s">
        <v>1</v>
      </c>
      <c r="AH398" t="s">
        <v>1</v>
      </c>
      <c r="AI398" t="s">
        <v>1</v>
      </c>
      <c r="AJ398" t="s">
        <v>1</v>
      </c>
      <c r="AK398" t="s">
        <v>1</v>
      </c>
      <c r="AL398" t="s">
        <v>1</v>
      </c>
      <c r="AM398" t="s">
        <v>1</v>
      </c>
      <c r="AN398">
        <v>366</v>
      </c>
      <c r="AO398">
        <f t="shared" si="54"/>
        <v>366</v>
      </c>
      <c r="AP398">
        <f t="shared" si="55"/>
        <v>65</v>
      </c>
      <c r="AQ398">
        <f t="shared" si="56"/>
        <v>65</v>
      </c>
      <c r="AR398" s="26" t="s">
        <v>1355</v>
      </c>
      <c r="AS398" s="26" t="s">
        <v>1356</v>
      </c>
      <c r="AT398" t="s">
        <v>729</v>
      </c>
      <c r="AU398" t="s">
        <v>1</v>
      </c>
      <c r="AV398" t="s">
        <v>1</v>
      </c>
      <c r="AW398">
        <v>12.27</v>
      </c>
      <c r="AX398">
        <v>-2.15</v>
      </c>
      <c r="AY398" t="s">
        <v>737</v>
      </c>
      <c r="BA398" s="3">
        <v>2</v>
      </c>
      <c r="BB398" s="3"/>
      <c r="BC398" s="3"/>
      <c r="BD398" s="3"/>
      <c r="BE398" s="3"/>
      <c r="BF398">
        <v>2002</v>
      </c>
      <c r="BG398" s="24" t="s">
        <v>733</v>
      </c>
      <c r="BH398" s="24" t="s">
        <v>733</v>
      </c>
      <c r="BI398" s="24" t="s">
        <v>733</v>
      </c>
      <c r="BJ398" s="24" t="s">
        <v>732</v>
      </c>
      <c r="BK398" s="24" t="s">
        <v>733</v>
      </c>
      <c r="BL398" s="25" t="s">
        <v>733</v>
      </c>
      <c r="BM398" s="24" t="s">
        <v>733</v>
      </c>
      <c r="BN398" s="24" t="s">
        <v>732</v>
      </c>
      <c r="BO398" s="24" t="s">
        <v>733</v>
      </c>
      <c r="BP398" s="24" t="s">
        <v>733</v>
      </c>
      <c r="BQ398" s="24" t="s">
        <v>945</v>
      </c>
      <c r="BR398" s="24" t="s">
        <v>945</v>
      </c>
      <c r="BS398" s="25" t="s">
        <v>934</v>
      </c>
      <c r="BT398" s="24" t="s">
        <v>934</v>
      </c>
      <c r="BU398" s="24" t="s">
        <v>934</v>
      </c>
      <c r="BV398" s="24" t="s">
        <v>934</v>
      </c>
      <c r="BW398" s="24" t="s">
        <v>934</v>
      </c>
      <c r="BX398" s="24" t="s">
        <v>934</v>
      </c>
      <c r="BY398" s="25" t="s">
        <v>945</v>
      </c>
      <c r="BZ398" t="s">
        <v>445</v>
      </c>
      <c r="CB398" t="s">
        <v>1</v>
      </c>
      <c r="CC398" s="4" t="s">
        <v>1</v>
      </c>
      <c r="CD398" s="4"/>
      <c r="CE398" s="4"/>
      <c r="CF398" t="s">
        <v>1</v>
      </c>
      <c r="CG398" t="s">
        <v>1</v>
      </c>
      <c r="CH398" t="s">
        <v>805</v>
      </c>
      <c r="CI398" s="28">
        <v>1.8</v>
      </c>
      <c r="CJ398" s="10" t="s">
        <v>1442</v>
      </c>
      <c r="CK398" s="9" t="s">
        <v>1</v>
      </c>
      <c r="CL398" s="4" t="s">
        <v>1</v>
      </c>
      <c r="CM398" t="s">
        <v>847</v>
      </c>
      <c r="CN398" s="15">
        <f>AVERAGE(63,69)</f>
        <v>66</v>
      </c>
      <c r="CO398" s="4" t="s">
        <v>1</v>
      </c>
      <c r="CP398" s="4" t="s">
        <v>1</v>
      </c>
      <c r="CQ398" s="4" t="s">
        <v>1</v>
      </c>
      <c r="CR398" s="4" t="s">
        <v>1</v>
      </c>
      <c r="CS398" s="4" t="s">
        <v>1</v>
      </c>
      <c r="CT398" s="4" t="s">
        <v>1</v>
      </c>
      <c r="CU398" s="4" t="s">
        <v>1</v>
      </c>
      <c r="CV398" s="37" t="s">
        <v>855</v>
      </c>
      <c r="CW398">
        <v>100</v>
      </c>
      <c r="CX398">
        <v>0</v>
      </c>
      <c r="CY398">
        <v>30</v>
      </c>
      <c r="CZ398" s="26" t="s">
        <v>1358</v>
      </c>
      <c r="DA398" t="s">
        <v>734</v>
      </c>
      <c r="DB398">
        <v>62</v>
      </c>
      <c r="DC398">
        <v>0</v>
      </c>
      <c r="DD398">
        <v>30</v>
      </c>
      <c r="DE398" s="26" t="s">
        <v>1358</v>
      </c>
      <c r="DF398" t="s">
        <v>735</v>
      </c>
      <c r="DG398">
        <v>28</v>
      </c>
      <c r="DH398">
        <v>0</v>
      </c>
      <c r="DI398">
        <v>30</v>
      </c>
      <c r="DJ398" s="26" t="s">
        <v>1358</v>
      </c>
      <c r="DK398" t="s">
        <v>736</v>
      </c>
      <c r="DL398">
        <v>10</v>
      </c>
      <c r="DM398">
        <v>0</v>
      </c>
      <c r="DN398">
        <v>30</v>
      </c>
      <c r="DO398" s="26" t="s">
        <v>1358</v>
      </c>
      <c r="DP398" t="s">
        <v>1</v>
      </c>
      <c r="DQ398" t="s">
        <v>1</v>
      </c>
      <c r="DR398" t="s">
        <v>1</v>
      </c>
      <c r="DS398" t="s">
        <v>1</v>
      </c>
      <c r="DT398" t="s">
        <v>1</v>
      </c>
      <c r="DU398" t="s">
        <v>1</v>
      </c>
      <c r="EA398" t="s">
        <v>1</v>
      </c>
      <c r="EB398" t="s">
        <v>1</v>
      </c>
      <c r="EC398" t="s">
        <v>1</v>
      </c>
      <c r="ED398" t="s">
        <v>1</v>
      </c>
      <c r="EE398" t="s">
        <v>1</v>
      </c>
      <c r="FZ398" t="s">
        <v>806</v>
      </c>
      <c r="GA398">
        <v>726</v>
      </c>
      <c r="GE398" s="26" t="s">
        <v>1358</v>
      </c>
      <c r="HA398" s="5" t="s">
        <v>1</v>
      </c>
      <c r="HB398" s="4" t="s">
        <v>1</v>
      </c>
      <c r="HC398" t="s">
        <v>1</v>
      </c>
      <c r="HD398" t="s">
        <v>1</v>
      </c>
      <c r="HE398" t="s">
        <v>1</v>
      </c>
      <c r="HF398" s="5" t="s">
        <v>1</v>
      </c>
      <c r="HG398" s="4" t="s">
        <v>1</v>
      </c>
      <c r="HH398" t="s">
        <v>1</v>
      </c>
      <c r="HI398" t="s">
        <v>1</v>
      </c>
      <c r="HJ398" t="s">
        <v>1</v>
      </c>
      <c r="HK398" t="s">
        <v>1</v>
      </c>
      <c r="HL398" t="s">
        <v>1</v>
      </c>
      <c r="HM398" t="s">
        <v>1</v>
      </c>
      <c r="HN398" t="s">
        <v>1</v>
      </c>
      <c r="HO398" t="s">
        <v>1</v>
      </c>
      <c r="HP398" t="s">
        <v>1</v>
      </c>
      <c r="HZ398" t="s">
        <v>969</v>
      </c>
      <c r="IA398">
        <v>50</v>
      </c>
      <c r="IB398" s="10" t="s">
        <v>1</v>
      </c>
      <c r="IC398" s="10"/>
      <c r="ID398" s="10"/>
      <c r="IE398" s="10" t="s">
        <v>1</v>
      </c>
      <c r="IF398" s="10" t="s">
        <v>1</v>
      </c>
      <c r="IG398" s="10"/>
      <c r="IH398" s="10"/>
      <c r="II398" s="10"/>
      <c r="IJ398" s="10"/>
      <c r="IK398" s="10"/>
      <c r="IL398" s="10"/>
      <c r="IM398" s="10"/>
      <c r="IN398" s="10"/>
      <c r="IO398" s="10"/>
      <c r="IP398" s="10"/>
      <c r="IQ398" s="10"/>
      <c r="IR398" s="10"/>
      <c r="IS398" t="s">
        <v>1</v>
      </c>
      <c r="IT398" t="s">
        <v>1</v>
      </c>
      <c r="IW398" t="s">
        <v>1</v>
      </c>
      <c r="IX398" t="s">
        <v>1</v>
      </c>
      <c r="IY398" t="s">
        <v>1</v>
      </c>
      <c r="IZ398" t="s">
        <v>1</v>
      </c>
      <c r="JA398" t="s">
        <v>1065</v>
      </c>
      <c r="JB398" s="3">
        <v>5</v>
      </c>
      <c r="JC398" t="s">
        <v>1</v>
      </c>
      <c r="JD398" s="4" t="s">
        <v>1</v>
      </c>
      <c r="JE398" t="s">
        <v>810</v>
      </c>
      <c r="JF398">
        <v>100</v>
      </c>
      <c r="JR398" t="s">
        <v>1066</v>
      </c>
      <c r="JS398">
        <v>15.5</v>
      </c>
      <c r="JU398" t="s">
        <v>1</v>
      </c>
      <c r="JW398" t="s">
        <v>1</v>
      </c>
      <c r="JX398">
        <v>0</v>
      </c>
      <c r="JY398">
        <v>50</v>
      </c>
      <c r="JZ398" t="s">
        <v>800</v>
      </c>
      <c r="KA398" t="s">
        <v>446</v>
      </c>
      <c r="KB398" t="s">
        <v>738</v>
      </c>
      <c r="KC398" t="s">
        <v>1</v>
      </c>
      <c r="KD398" t="s">
        <v>1</v>
      </c>
      <c r="KE398" s="1" t="s">
        <v>1</v>
      </c>
      <c r="KF398" t="s">
        <v>1</v>
      </c>
      <c r="KG398" t="s">
        <v>1</v>
      </c>
      <c r="KH398" t="s">
        <v>1</v>
      </c>
      <c r="KI398" t="s">
        <v>1</v>
      </c>
      <c r="KJ398" t="s">
        <v>1</v>
      </c>
      <c r="KK398" t="s">
        <v>1</v>
      </c>
    </row>
    <row r="399" spans="1:297" x14ac:dyDescent="0.2">
      <c r="A399">
        <v>367</v>
      </c>
      <c r="B399" t="s">
        <v>705</v>
      </c>
      <c r="C399" t="s">
        <v>456</v>
      </c>
      <c r="D399" t="s">
        <v>692</v>
      </c>
      <c r="E399">
        <v>65</v>
      </c>
      <c r="F399" t="s">
        <v>443</v>
      </c>
      <c r="G399" t="s">
        <v>1</v>
      </c>
      <c r="H399" s="26" t="s">
        <v>1420</v>
      </c>
      <c r="I399" t="s">
        <v>1</v>
      </c>
      <c r="J399" t="s">
        <v>1</v>
      </c>
      <c r="K399" t="s">
        <v>1</v>
      </c>
      <c r="L399" t="s">
        <v>1</v>
      </c>
      <c r="M399" t="s">
        <v>1</v>
      </c>
      <c r="N399" t="s">
        <v>1</v>
      </c>
      <c r="O399" t="s">
        <v>1</v>
      </c>
      <c r="P399" t="s">
        <v>1</v>
      </c>
      <c r="Q399" t="s">
        <v>1</v>
      </c>
      <c r="R399" t="s">
        <v>1</v>
      </c>
      <c r="S399" t="s">
        <v>1</v>
      </c>
      <c r="T399" t="s">
        <v>1</v>
      </c>
      <c r="U399" t="s">
        <v>1</v>
      </c>
      <c r="V399" t="s">
        <v>1</v>
      </c>
      <c r="W399" t="s">
        <v>1</v>
      </c>
      <c r="X399" t="s">
        <v>1</v>
      </c>
      <c r="Y399" t="s">
        <v>1</v>
      </c>
      <c r="Z399" t="s">
        <v>1</v>
      </c>
      <c r="AA399" t="s">
        <v>1</v>
      </c>
      <c r="AB399" t="s">
        <v>1</v>
      </c>
      <c r="AC399" t="s">
        <v>1</v>
      </c>
      <c r="AD399" t="s">
        <v>1</v>
      </c>
      <c r="AE399" t="s">
        <v>1</v>
      </c>
      <c r="AF399" t="s">
        <v>1</v>
      </c>
      <c r="AG399" t="s">
        <v>1</v>
      </c>
      <c r="AH399" t="s">
        <v>1</v>
      </c>
      <c r="AI399" t="s">
        <v>1</v>
      </c>
      <c r="AJ399" t="s">
        <v>1</v>
      </c>
      <c r="AK399" t="s">
        <v>1</v>
      </c>
      <c r="AL399" t="s">
        <v>1</v>
      </c>
      <c r="AM399" t="s">
        <v>1</v>
      </c>
      <c r="AN399">
        <v>367</v>
      </c>
      <c r="AO399">
        <f t="shared" si="54"/>
        <v>367</v>
      </c>
      <c r="AP399">
        <f t="shared" si="55"/>
        <v>65</v>
      </c>
      <c r="AQ399">
        <f t="shared" si="56"/>
        <v>65</v>
      </c>
      <c r="AR399" s="26" t="s">
        <v>1355</v>
      </c>
      <c r="AS399" s="26" t="s">
        <v>1356</v>
      </c>
      <c r="AT399" t="s">
        <v>729</v>
      </c>
      <c r="AU399" t="s">
        <v>1</v>
      </c>
      <c r="AV399" t="s">
        <v>1</v>
      </c>
      <c r="AW399">
        <v>12.27</v>
      </c>
      <c r="AX399">
        <v>-2.15</v>
      </c>
      <c r="AY399" t="s">
        <v>737</v>
      </c>
      <c r="BA399" s="3">
        <v>2</v>
      </c>
      <c r="BB399" s="3"/>
      <c r="BC399" s="3"/>
      <c r="BD399" s="3"/>
      <c r="BE399" s="3"/>
      <c r="BF399">
        <v>2002</v>
      </c>
      <c r="BG399" s="24" t="s">
        <v>733</v>
      </c>
      <c r="BH399" s="24" t="s">
        <v>733</v>
      </c>
      <c r="BI399" s="24" t="s">
        <v>733</v>
      </c>
      <c r="BJ399" s="24" t="s">
        <v>732</v>
      </c>
      <c r="BK399" s="24" t="s">
        <v>733</v>
      </c>
      <c r="BL399" s="25" t="s">
        <v>733</v>
      </c>
      <c r="BM399" s="24" t="s">
        <v>733</v>
      </c>
      <c r="BN399" s="24" t="s">
        <v>732</v>
      </c>
      <c r="BO399" s="24" t="s">
        <v>733</v>
      </c>
      <c r="BP399" s="24" t="s">
        <v>733</v>
      </c>
      <c r="BQ399" s="24" t="s">
        <v>945</v>
      </c>
      <c r="BR399" s="24" t="s">
        <v>945</v>
      </c>
      <c r="BS399" s="25" t="s">
        <v>934</v>
      </c>
      <c r="BT399" s="24" t="s">
        <v>934</v>
      </c>
      <c r="BU399" s="24" t="s">
        <v>934</v>
      </c>
      <c r="BV399" s="24" t="s">
        <v>934</v>
      </c>
      <c r="BW399" s="24" t="s">
        <v>934</v>
      </c>
      <c r="BX399" s="24" t="s">
        <v>934</v>
      </c>
      <c r="BY399" s="25" t="s">
        <v>945</v>
      </c>
      <c r="BZ399" t="s">
        <v>445</v>
      </c>
      <c r="CB399" t="s">
        <v>1</v>
      </c>
      <c r="CC399" s="4" t="s">
        <v>1</v>
      </c>
      <c r="CD399" s="4"/>
      <c r="CE399" s="4"/>
      <c r="CF399" t="s">
        <v>1</v>
      </c>
      <c r="CG399" t="s">
        <v>1</v>
      </c>
      <c r="CH399" t="s">
        <v>805</v>
      </c>
      <c r="CI399" s="28">
        <v>1.8</v>
      </c>
      <c r="CJ399" s="10" t="s">
        <v>1442</v>
      </c>
      <c r="CK399" s="9" t="s">
        <v>1</v>
      </c>
      <c r="CL399" s="4" t="s">
        <v>1</v>
      </c>
      <c r="CM399" t="s">
        <v>847</v>
      </c>
      <c r="CN399" s="4">
        <f>AVERAGE(75,92)</f>
        <v>83.5</v>
      </c>
      <c r="CO399" s="4" t="s">
        <v>1</v>
      </c>
      <c r="CP399" s="4" t="s">
        <v>1</v>
      </c>
      <c r="CQ399" s="4" t="s">
        <v>1</v>
      </c>
      <c r="CR399" s="4" t="s">
        <v>1</v>
      </c>
      <c r="CS399" s="4" t="s">
        <v>1</v>
      </c>
      <c r="CT399" s="4" t="s">
        <v>1</v>
      </c>
      <c r="CU399" s="4" t="s">
        <v>1</v>
      </c>
      <c r="CV399" s="37" t="s">
        <v>855</v>
      </c>
      <c r="CW399">
        <v>100</v>
      </c>
      <c r="CX399">
        <v>0</v>
      </c>
      <c r="CY399">
        <v>30</v>
      </c>
      <c r="CZ399" s="26" t="s">
        <v>1358</v>
      </c>
      <c r="DA399" t="s">
        <v>734</v>
      </c>
      <c r="DB399">
        <v>62</v>
      </c>
      <c r="DC399">
        <v>0</v>
      </c>
      <c r="DD399">
        <v>30</v>
      </c>
      <c r="DE399" s="26" t="s">
        <v>1358</v>
      </c>
      <c r="DF399" t="s">
        <v>735</v>
      </c>
      <c r="DG399">
        <v>28</v>
      </c>
      <c r="DH399">
        <v>0</v>
      </c>
      <c r="DI399">
        <v>30</v>
      </c>
      <c r="DJ399" s="26" t="s">
        <v>1358</v>
      </c>
      <c r="DK399" t="s">
        <v>736</v>
      </c>
      <c r="DL399">
        <v>10</v>
      </c>
      <c r="DM399">
        <v>0</v>
      </c>
      <c r="DN399">
        <v>30</v>
      </c>
      <c r="DO399" s="26" t="s">
        <v>1358</v>
      </c>
      <c r="DP399" t="s">
        <v>1</v>
      </c>
      <c r="DQ399" t="s">
        <v>1</v>
      </c>
      <c r="DR399" t="s">
        <v>1</v>
      </c>
      <c r="DS399" t="s">
        <v>1</v>
      </c>
      <c r="DT399" t="s">
        <v>1</v>
      </c>
      <c r="DU399" t="s">
        <v>1</v>
      </c>
      <c r="EA399" t="s">
        <v>1</v>
      </c>
      <c r="EB399" t="s">
        <v>1</v>
      </c>
      <c r="EC399" t="s">
        <v>1</v>
      </c>
      <c r="ED399" t="s">
        <v>1</v>
      </c>
      <c r="EE399" t="s">
        <v>1</v>
      </c>
      <c r="FZ399" t="s">
        <v>806</v>
      </c>
      <c r="GA399">
        <v>726</v>
      </c>
      <c r="GE399" s="26" t="s">
        <v>1358</v>
      </c>
      <c r="HA399" s="5" t="s">
        <v>1</v>
      </c>
      <c r="HB399" s="4" t="s">
        <v>1</v>
      </c>
      <c r="HC399" t="s">
        <v>1</v>
      </c>
      <c r="HD399" t="s">
        <v>1</v>
      </c>
      <c r="HE399" t="s">
        <v>1</v>
      </c>
      <c r="HF399" s="5" t="s">
        <v>1</v>
      </c>
      <c r="HG399" s="4" t="s">
        <v>1</v>
      </c>
      <c r="HH399" t="s">
        <v>1</v>
      </c>
      <c r="HI399" t="s">
        <v>1</v>
      </c>
      <c r="HJ399" t="s">
        <v>1</v>
      </c>
      <c r="HK399" t="s">
        <v>1</v>
      </c>
      <c r="HL399" t="s">
        <v>1</v>
      </c>
      <c r="HM399" t="s">
        <v>1</v>
      </c>
      <c r="HN399" t="s">
        <v>1</v>
      </c>
      <c r="HO399" t="s">
        <v>1</v>
      </c>
      <c r="HP399" t="s">
        <v>1</v>
      </c>
      <c r="HZ399" t="s">
        <v>1</v>
      </c>
      <c r="IA399" t="s">
        <v>1</v>
      </c>
      <c r="IB399" s="10" t="s">
        <v>1</v>
      </c>
      <c r="IC399" s="10"/>
      <c r="ID399" s="10"/>
      <c r="IE399" s="10" t="s">
        <v>1</v>
      </c>
      <c r="IF399" s="10" t="s">
        <v>1</v>
      </c>
      <c r="IG399" s="10"/>
      <c r="IH399" s="10"/>
      <c r="II399" s="10"/>
      <c r="IJ399" s="10"/>
      <c r="IK399" s="10"/>
      <c r="IL399" s="10"/>
      <c r="IM399" s="10"/>
      <c r="IN399" s="10"/>
      <c r="IO399" s="10"/>
      <c r="IP399" s="10"/>
      <c r="IQ399" s="10"/>
      <c r="IR399" s="10"/>
      <c r="IS399" t="s">
        <v>978</v>
      </c>
      <c r="IT399">
        <v>50</v>
      </c>
      <c r="IW399" t="s">
        <v>1</v>
      </c>
      <c r="IX399" t="s">
        <v>1</v>
      </c>
      <c r="IY399" t="s">
        <v>1</v>
      </c>
      <c r="IZ399" t="s">
        <v>1</v>
      </c>
      <c r="JA399" t="s">
        <v>1065</v>
      </c>
      <c r="JB399" s="3">
        <v>5</v>
      </c>
      <c r="JC399" t="s">
        <v>1</v>
      </c>
      <c r="JD399" s="4" t="s">
        <v>1</v>
      </c>
      <c r="JE399" t="s">
        <v>810</v>
      </c>
      <c r="JF399">
        <v>100</v>
      </c>
      <c r="JR399" t="s">
        <v>1066</v>
      </c>
      <c r="JS399">
        <v>9.5</v>
      </c>
      <c r="JU399" t="s">
        <v>1</v>
      </c>
      <c r="JW399" t="s">
        <v>1</v>
      </c>
      <c r="JX399">
        <v>0</v>
      </c>
      <c r="JY399">
        <v>50</v>
      </c>
      <c r="JZ399" t="s">
        <v>800</v>
      </c>
      <c r="KA399" t="s">
        <v>446</v>
      </c>
      <c r="KB399" t="s">
        <v>738</v>
      </c>
      <c r="KC399" t="s">
        <v>1</v>
      </c>
      <c r="KD399" t="s">
        <v>1</v>
      </c>
      <c r="KE399" s="1" t="s">
        <v>1</v>
      </c>
      <c r="KF399" t="s">
        <v>1</v>
      </c>
      <c r="KG399" t="s">
        <v>1</v>
      </c>
      <c r="KH399" t="s">
        <v>1</v>
      </c>
      <c r="KI399" t="s">
        <v>1</v>
      </c>
      <c r="KJ399" t="s">
        <v>1</v>
      </c>
      <c r="KK399" t="s">
        <v>1</v>
      </c>
    </row>
    <row r="400" spans="1:297" x14ac:dyDescent="0.2">
      <c r="A400">
        <v>368</v>
      </c>
      <c r="B400" t="s">
        <v>705</v>
      </c>
      <c r="C400" t="s">
        <v>458</v>
      </c>
      <c r="D400" t="s">
        <v>457</v>
      </c>
      <c r="E400">
        <v>66</v>
      </c>
      <c r="F400" t="s">
        <v>782</v>
      </c>
      <c r="G400" t="s">
        <v>1</v>
      </c>
      <c r="H400" s="26" t="s">
        <v>1420</v>
      </c>
      <c r="I400" t="s">
        <v>1</v>
      </c>
      <c r="J400" t="s">
        <v>1</v>
      </c>
      <c r="K400" t="s">
        <v>1</v>
      </c>
      <c r="L400" t="s">
        <v>1</v>
      </c>
      <c r="M400" t="s">
        <v>1</v>
      </c>
      <c r="N400" t="s">
        <v>1</v>
      </c>
      <c r="O400" t="s">
        <v>1</v>
      </c>
      <c r="P400" t="s">
        <v>1</v>
      </c>
      <c r="Q400" t="s">
        <v>1</v>
      </c>
      <c r="R400" t="s">
        <v>1</v>
      </c>
      <c r="S400" t="s">
        <v>1</v>
      </c>
      <c r="T400" t="s">
        <v>1</v>
      </c>
      <c r="U400" t="s">
        <v>1</v>
      </c>
      <c r="V400" t="s">
        <v>1</v>
      </c>
      <c r="W400" t="s">
        <v>1</v>
      </c>
      <c r="X400" t="s">
        <v>1</v>
      </c>
      <c r="Y400" t="s">
        <v>1</v>
      </c>
      <c r="Z400" t="s">
        <v>1</v>
      </c>
      <c r="AA400" t="s">
        <v>1</v>
      </c>
      <c r="AB400" t="s">
        <v>1</v>
      </c>
      <c r="AC400" t="s">
        <v>1</v>
      </c>
      <c r="AD400" t="s">
        <v>1</v>
      </c>
      <c r="AE400" t="s">
        <v>1</v>
      </c>
      <c r="AF400" t="s">
        <v>1</v>
      </c>
      <c r="AG400" t="s">
        <v>1</v>
      </c>
      <c r="AH400" t="s">
        <v>1</v>
      </c>
      <c r="AI400" t="s">
        <v>1</v>
      </c>
      <c r="AJ400" t="s">
        <v>1</v>
      </c>
      <c r="AK400" t="s">
        <v>1</v>
      </c>
      <c r="AL400" t="s">
        <v>1</v>
      </c>
      <c r="AM400" t="s">
        <v>1</v>
      </c>
      <c r="AN400">
        <v>368</v>
      </c>
      <c r="AO400">
        <f t="shared" si="54"/>
        <v>368</v>
      </c>
      <c r="AP400">
        <f t="shared" si="55"/>
        <v>66</v>
      </c>
      <c r="AQ400">
        <f t="shared" si="56"/>
        <v>66</v>
      </c>
      <c r="AR400" s="26" t="s">
        <v>1355</v>
      </c>
      <c r="AS400" s="26" t="s">
        <v>1356</v>
      </c>
      <c r="AT400" t="s">
        <v>706</v>
      </c>
      <c r="AU400" t="s">
        <v>1</v>
      </c>
      <c r="AV400" t="s">
        <v>1</v>
      </c>
      <c r="AW400">
        <v>-19.28</v>
      </c>
      <c r="AX400">
        <v>29.35</v>
      </c>
      <c r="AY400" t="s">
        <v>737</v>
      </c>
      <c r="BA400" s="3">
        <v>4</v>
      </c>
      <c r="BB400" s="3"/>
      <c r="BC400" s="3"/>
      <c r="BD400" s="3"/>
      <c r="BE400" s="3"/>
      <c r="BF400">
        <v>2008</v>
      </c>
      <c r="BG400" s="24" t="s">
        <v>733</v>
      </c>
      <c r="BH400" s="24" t="s">
        <v>733</v>
      </c>
      <c r="BI400" s="24" t="s">
        <v>733</v>
      </c>
      <c r="BJ400" s="24" t="s">
        <v>732</v>
      </c>
      <c r="BK400" s="24" t="s">
        <v>733</v>
      </c>
      <c r="BL400" s="25" t="s">
        <v>733</v>
      </c>
      <c r="BM400" s="24" t="s">
        <v>733</v>
      </c>
      <c r="BN400" s="24" t="s">
        <v>732</v>
      </c>
      <c r="BO400" s="24" t="s">
        <v>733</v>
      </c>
      <c r="BP400" s="24" t="s">
        <v>733</v>
      </c>
      <c r="BQ400" s="24" t="s">
        <v>945</v>
      </c>
      <c r="BR400" s="24" t="s">
        <v>945</v>
      </c>
      <c r="BS400" s="25" t="s">
        <v>934</v>
      </c>
      <c r="BT400" s="24" t="s">
        <v>934</v>
      </c>
      <c r="BU400" s="24" t="s">
        <v>934</v>
      </c>
      <c r="BV400" s="24" t="s">
        <v>934</v>
      </c>
      <c r="BW400" s="24" t="s">
        <v>934</v>
      </c>
      <c r="BX400" s="24" t="s">
        <v>934</v>
      </c>
      <c r="BY400" s="25" t="s">
        <v>945</v>
      </c>
      <c r="BZ400" t="s">
        <v>788</v>
      </c>
      <c r="CB400" t="s">
        <v>1394</v>
      </c>
      <c r="CC400" s="4" t="s">
        <v>1</v>
      </c>
      <c r="CD400" s="4"/>
      <c r="CE400" s="4"/>
      <c r="CF400" t="s">
        <v>1</v>
      </c>
      <c r="CG400" t="s">
        <v>1</v>
      </c>
      <c r="CH400" t="s">
        <v>805</v>
      </c>
      <c r="CI400" s="28">
        <v>0.4</v>
      </c>
      <c r="CJ400" s="9" t="s">
        <v>1</v>
      </c>
      <c r="CK400" s="9" t="s">
        <v>1</v>
      </c>
      <c r="CL400" s="4" t="s">
        <v>1</v>
      </c>
      <c r="CM400" t="s">
        <v>847</v>
      </c>
      <c r="CN400" s="4">
        <f>SUM(27.9,9.8,35.2,32.3)</f>
        <v>105.2</v>
      </c>
      <c r="CO400" s="4" t="s">
        <v>1</v>
      </c>
      <c r="CP400" s="4" t="s">
        <v>1</v>
      </c>
      <c r="CQ400" s="4" t="s">
        <v>1</v>
      </c>
      <c r="CR400" s="4" t="s">
        <v>1</v>
      </c>
      <c r="CS400" s="4" t="s">
        <v>1</v>
      </c>
      <c r="CT400" s="4" t="s">
        <v>1</v>
      </c>
      <c r="CU400" s="4" t="s">
        <v>1</v>
      </c>
      <c r="CV400" t="s">
        <v>852</v>
      </c>
      <c r="CW400">
        <v>100</v>
      </c>
      <c r="CX400">
        <v>0</v>
      </c>
      <c r="CY400">
        <v>30</v>
      </c>
      <c r="CZ400" s="26" t="s">
        <v>1358</v>
      </c>
      <c r="DA400" t="s">
        <v>734</v>
      </c>
      <c r="DB400">
        <v>83.3</v>
      </c>
      <c r="DC400">
        <v>0</v>
      </c>
      <c r="DD400">
        <v>30</v>
      </c>
      <c r="DE400" s="26" t="s">
        <v>1358</v>
      </c>
      <c r="DF400" t="s">
        <v>735</v>
      </c>
      <c r="DG400">
        <v>11.7</v>
      </c>
      <c r="DH400">
        <v>0</v>
      </c>
      <c r="DI400">
        <v>30</v>
      </c>
      <c r="DJ400" s="26" t="s">
        <v>1358</v>
      </c>
      <c r="DK400" t="s">
        <v>736</v>
      </c>
      <c r="DL400">
        <v>5</v>
      </c>
      <c r="DM400">
        <v>0</v>
      </c>
      <c r="DN400">
        <v>30</v>
      </c>
      <c r="DO400" s="26" t="s">
        <v>1358</v>
      </c>
      <c r="DP400" t="s">
        <v>6</v>
      </c>
      <c r="DQ400" t="s">
        <v>813</v>
      </c>
      <c r="DR400">
        <v>5.6</v>
      </c>
      <c r="DS400">
        <v>0</v>
      </c>
      <c r="DT400">
        <v>30</v>
      </c>
      <c r="DU400" s="26" t="s">
        <v>1358</v>
      </c>
      <c r="EA400" t="s">
        <v>982</v>
      </c>
      <c r="EB400">
        <v>3.3000000000000003</v>
      </c>
      <c r="EC400">
        <v>0</v>
      </c>
      <c r="ED400">
        <v>30</v>
      </c>
      <c r="EE400" s="26" t="s">
        <v>1358</v>
      </c>
      <c r="EF400" s="26"/>
      <c r="FZ400" t="s">
        <v>806</v>
      </c>
      <c r="GA400">
        <v>1063</v>
      </c>
      <c r="GE400" s="26" t="s">
        <v>1358</v>
      </c>
      <c r="HA400" s="5" t="s">
        <v>1</v>
      </c>
      <c r="HB400" s="4" t="s">
        <v>1</v>
      </c>
      <c r="HC400" t="s">
        <v>1</v>
      </c>
      <c r="HD400" t="s">
        <v>1</v>
      </c>
      <c r="HE400" t="s">
        <v>1</v>
      </c>
      <c r="HF400" s="5" t="s">
        <v>1063</v>
      </c>
      <c r="HG400" s="4">
        <v>0.22666666666666668</v>
      </c>
      <c r="HH400">
        <v>0</v>
      </c>
      <c r="HI400">
        <v>30</v>
      </c>
      <c r="HJ400" s="26" t="s">
        <v>1358</v>
      </c>
      <c r="HK400" t="s">
        <v>815</v>
      </c>
      <c r="HL400" s="4">
        <v>1.3666666666666667</v>
      </c>
      <c r="HM400">
        <v>0</v>
      </c>
      <c r="HN400">
        <v>30</v>
      </c>
      <c r="HO400" t="s">
        <v>1</v>
      </c>
      <c r="HP400" s="26" t="s">
        <v>1358</v>
      </c>
      <c r="HZ400" t="s">
        <v>969</v>
      </c>
      <c r="IA400">
        <v>200</v>
      </c>
      <c r="IB400" s="10" t="s">
        <v>1</v>
      </c>
      <c r="IC400" s="10"/>
      <c r="ID400" s="10"/>
      <c r="IE400" s="10" t="s">
        <v>1</v>
      </c>
      <c r="IF400" s="10" t="s">
        <v>1</v>
      </c>
      <c r="IG400" s="10"/>
      <c r="IH400" s="10"/>
      <c r="II400" s="10"/>
      <c r="IJ400" s="10"/>
      <c r="IK400" s="10"/>
      <c r="IL400" s="10"/>
      <c r="IM400" s="10"/>
      <c r="IN400" s="10"/>
      <c r="IO400" s="10"/>
      <c r="IP400" s="10"/>
      <c r="IQ400" s="10"/>
      <c r="IR400" s="10"/>
      <c r="IS400" t="s">
        <v>1</v>
      </c>
      <c r="IT400" t="s">
        <v>1</v>
      </c>
      <c r="IW400" t="s">
        <v>1</v>
      </c>
      <c r="IX400" t="s">
        <v>1</v>
      </c>
      <c r="IY400" t="s">
        <v>808</v>
      </c>
      <c r="IZ400">
        <v>5250</v>
      </c>
      <c r="JA400" t="s">
        <v>1</v>
      </c>
      <c r="JB400" s="3" t="s">
        <v>1</v>
      </c>
      <c r="JC400" t="s">
        <v>1</v>
      </c>
      <c r="JD400" s="4" t="s">
        <v>1</v>
      </c>
      <c r="JE400" t="s">
        <v>1</v>
      </c>
      <c r="JF400" t="s">
        <v>1</v>
      </c>
      <c r="JR400" t="s">
        <v>1066</v>
      </c>
      <c r="JS400">
        <v>139.4</v>
      </c>
      <c r="JU400" t="s">
        <v>1</v>
      </c>
      <c r="JW400" t="s">
        <v>1</v>
      </c>
      <c r="JX400">
        <v>0</v>
      </c>
      <c r="JY400">
        <v>40</v>
      </c>
      <c r="JZ400" t="s">
        <v>803</v>
      </c>
      <c r="KA400" t="s">
        <v>459</v>
      </c>
      <c r="KB400" t="s">
        <v>738</v>
      </c>
      <c r="KC400" t="s">
        <v>1</v>
      </c>
      <c r="KD400" t="s">
        <v>1</v>
      </c>
      <c r="KE400" s="1" t="s">
        <v>1</v>
      </c>
      <c r="KF400" t="s">
        <v>1</v>
      </c>
      <c r="KG400" t="s">
        <v>1</v>
      </c>
      <c r="KH400" t="s">
        <v>1</v>
      </c>
      <c r="KI400" t="s">
        <v>1</v>
      </c>
      <c r="KJ400" t="s">
        <v>1</v>
      </c>
      <c r="KK400" t="s">
        <v>1</v>
      </c>
    </row>
    <row r="401" spans="1:297" x14ac:dyDescent="0.2">
      <c r="A401">
        <v>369</v>
      </c>
      <c r="B401" t="s">
        <v>705</v>
      </c>
      <c r="C401" t="s">
        <v>460</v>
      </c>
      <c r="D401" t="s">
        <v>457</v>
      </c>
      <c r="E401">
        <v>66</v>
      </c>
      <c r="F401" t="s">
        <v>782</v>
      </c>
      <c r="G401" t="s">
        <v>1</v>
      </c>
      <c r="H401" s="26" t="s">
        <v>1420</v>
      </c>
      <c r="I401" t="s">
        <v>1</v>
      </c>
      <c r="J401" t="s">
        <v>1</v>
      </c>
      <c r="K401" t="s">
        <v>1</v>
      </c>
      <c r="L401" t="s">
        <v>1</v>
      </c>
      <c r="M401" t="s">
        <v>1</v>
      </c>
      <c r="N401" t="s">
        <v>1</v>
      </c>
      <c r="O401" t="s">
        <v>1</v>
      </c>
      <c r="P401" t="s">
        <v>1</v>
      </c>
      <c r="Q401" t="s">
        <v>1</v>
      </c>
      <c r="R401" t="s">
        <v>1</v>
      </c>
      <c r="S401" t="s">
        <v>1</v>
      </c>
      <c r="T401" t="s">
        <v>1</v>
      </c>
      <c r="U401" t="s">
        <v>1</v>
      </c>
      <c r="V401" t="s">
        <v>1</v>
      </c>
      <c r="W401" t="s">
        <v>1</v>
      </c>
      <c r="X401" t="s">
        <v>1</v>
      </c>
      <c r="Y401" t="s">
        <v>1</v>
      </c>
      <c r="Z401" t="s">
        <v>1</v>
      </c>
      <c r="AA401" t="s">
        <v>1</v>
      </c>
      <c r="AB401" t="s">
        <v>1</v>
      </c>
      <c r="AC401" t="s">
        <v>1</v>
      </c>
      <c r="AD401" t="s">
        <v>1</v>
      </c>
      <c r="AE401" t="s">
        <v>1</v>
      </c>
      <c r="AF401" t="s">
        <v>1</v>
      </c>
      <c r="AG401" t="s">
        <v>1</v>
      </c>
      <c r="AH401" t="s">
        <v>1</v>
      </c>
      <c r="AI401" t="s">
        <v>1</v>
      </c>
      <c r="AJ401" t="s">
        <v>1</v>
      </c>
      <c r="AK401" t="s">
        <v>1</v>
      </c>
      <c r="AL401" t="s">
        <v>1</v>
      </c>
      <c r="AM401" t="s">
        <v>1</v>
      </c>
      <c r="AN401">
        <v>369</v>
      </c>
      <c r="AO401">
        <f t="shared" si="54"/>
        <v>369</v>
      </c>
      <c r="AP401">
        <f t="shared" si="55"/>
        <v>66</v>
      </c>
      <c r="AQ401">
        <f t="shared" si="56"/>
        <v>66</v>
      </c>
      <c r="AR401" s="26" t="s">
        <v>1355</v>
      </c>
      <c r="AS401" s="26" t="s">
        <v>1356</v>
      </c>
      <c r="AT401" t="s">
        <v>706</v>
      </c>
      <c r="AU401" t="s">
        <v>1</v>
      </c>
      <c r="AV401" t="s">
        <v>1</v>
      </c>
      <c r="AW401">
        <v>-19.28</v>
      </c>
      <c r="AX401">
        <v>29.35</v>
      </c>
      <c r="AY401" t="s">
        <v>737</v>
      </c>
      <c r="BA401" s="3">
        <v>4</v>
      </c>
      <c r="BB401" s="3"/>
      <c r="BC401" s="3"/>
      <c r="BD401" s="3"/>
      <c r="BE401" s="3"/>
      <c r="BF401">
        <v>2008</v>
      </c>
      <c r="BG401" s="24" t="s">
        <v>733</v>
      </c>
      <c r="BH401" s="24" t="s">
        <v>733</v>
      </c>
      <c r="BI401" s="24" t="s">
        <v>733</v>
      </c>
      <c r="BJ401" s="24" t="s">
        <v>732</v>
      </c>
      <c r="BK401" s="24" t="s">
        <v>733</v>
      </c>
      <c r="BL401" s="25" t="s">
        <v>733</v>
      </c>
      <c r="BM401" s="24" t="s">
        <v>733</v>
      </c>
      <c r="BN401" s="24" t="s">
        <v>732</v>
      </c>
      <c r="BO401" s="24" t="s">
        <v>733</v>
      </c>
      <c r="BP401" s="24" t="s">
        <v>733</v>
      </c>
      <c r="BQ401" s="24" t="s">
        <v>945</v>
      </c>
      <c r="BR401" s="24" t="s">
        <v>945</v>
      </c>
      <c r="BS401" s="25" t="s">
        <v>934</v>
      </c>
      <c r="BT401" s="24" t="s">
        <v>934</v>
      </c>
      <c r="BU401" s="24" t="s">
        <v>934</v>
      </c>
      <c r="BV401" s="24" t="s">
        <v>934</v>
      </c>
      <c r="BW401" s="24" t="s">
        <v>934</v>
      </c>
      <c r="BX401" s="24" t="s">
        <v>934</v>
      </c>
      <c r="BY401" s="25" t="s">
        <v>945</v>
      </c>
      <c r="BZ401" t="s">
        <v>788</v>
      </c>
      <c r="CB401" t="s">
        <v>1394</v>
      </c>
      <c r="CC401" s="4" t="s">
        <v>1</v>
      </c>
      <c r="CD401" s="4"/>
      <c r="CE401" s="4"/>
      <c r="CF401" t="s">
        <v>1</v>
      </c>
      <c r="CG401" t="s">
        <v>1</v>
      </c>
      <c r="CH401" t="s">
        <v>805</v>
      </c>
      <c r="CI401" s="28">
        <v>0.4</v>
      </c>
      <c r="CJ401" s="9" t="s">
        <v>1</v>
      </c>
      <c r="CK401" s="9" t="s">
        <v>1</v>
      </c>
      <c r="CL401" s="4" t="s">
        <v>1</v>
      </c>
      <c r="CM401" t="s">
        <v>847</v>
      </c>
      <c r="CN401" s="4">
        <f>SUM(79.6,57.5,55.7,59.2)</f>
        <v>252</v>
      </c>
      <c r="CO401" s="4" t="s">
        <v>1</v>
      </c>
      <c r="CP401" s="4" t="s">
        <v>1</v>
      </c>
      <c r="CQ401" s="4" t="s">
        <v>1</v>
      </c>
      <c r="CR401" s="4" t="s">
        <v>1</v>
      </c>
      <c r="CS401" s="4" t="s">
        <v>1</v>
      </c>
      <c r="CT401" s="4" t="s">
        <v>1</v>
      </c>
      <c r="CU401" s="4" t="s">
        <v>1</v>
      </c>
      <c r="CV401" t="s">
        <v>852</v>
      </c>
      <c r="CW401">
        <v>100</v>
      </c>
      <c r="CX401">
        <v>0</v>
      </c>
      <c r="CY401">
        <v>30</v>
      </c>
      <c r="CZ401" s="26" t="s">
        <v>1358</v>
      </c>
      <c r="DA401" t="s">
        <v>734</v>
      </c>
      <c r="DB401">
        <v>83.3</v>
      </c>
      <c r="DC401">
        <v>0</v>
      </c>
      <c r="DD401">
        <v>30</v>
      </c>
      <c r="DE401" s="26" t="s">
        <v>1358</v>
      </c>
      <c r="DF401" t="s">
        <v>735</v>
      </c>
      <c r="DG401">
        <v>11.7</v>
      </c>
      <c r="DH401">
        <v>0</v>
      </c>
      <c r="DI401">
        <v>30</v>
      </c>
      <c r="DJ401" s="26" t="s">
        <v>1358</v>
      </c>
      <c r="DK401" t="s">
        <v>736</v>
      </c>
      <c r="DL401">
        <v>5</v>
      </c>
      <c r="DM401">
        <v>0</v>
      </c>
      <c r="DN401">
        <v>30</v>
      </c>
      <c r="DO401" s="26" t="s">
        <v>1358</v>
      </c>
      <c r="DP401" t="s">
        <v>6</v>
      </c>
      <c r="DQ401" t="s">
        <v>813</v>
      </c>
      <c r="DR401">
        <v>5.6</v>
      </c>
      <c r="DS401">
        <v>0</v>
      </c>
      <c r="DT401">
        <v>30</v>
      </c>
      <c r="DU401" s="26" t="s">
        <v>1358</v>
      </c>
      <c r="EA401" t="s">
        <v>982</v>
      </c>
      <c r="EB401">
        <v>3.3000000000000003</v>
      </c>
      <c r="EC401">
        <v>0</v>
      </c>
      <c r="ED401">
        <v>30</v>
      </c>
      <c r="EE401" s="26" t="s">
        <v>1358</v>
      </c>
      <c r="EF401" s="26"/>
      <c r="FZ401" t="s">
        <v>806</v>
      </c>
      <c r="GA401">
        <v>1063</v>
      </c>
      <c r="GE401" s="26" t="s">
        <v>1358</v>
      </c>
      <c r="HA401" s="5" t="s">
        <v>1</v>
      </c>
      <c r="HB401" s="4" t="s">
        <v>1</v>
      </c>
      <c r="HC401" t="s">
        <v>1</v>
      </c>
      <c r="HD401" t="s">
        <v>1</v>
      </c>
      <c r="HE401" t="s">
        <v>1</v>
      </c>
      <c r="HF401" s="5" t="s">
        <v>1063</v>
      </c>
      <c r="HG401" s="4">
        <v>0.22666666666666668</v>
      </c>
      <c r="HH401">
        <v>0</v>
      </c>
      <c r="HI401">
        <v>30</v>
      </c>
      <c r="HJ401" s="26" t="s">
        <v>1358</v>
      </c>
      <c r="HK401" t="s">
        <v>815</v>
      </c>
      <c r="HL401" s="4">
        <v>1.3666666666666667</v>
      </c>
      <c r="HM401">
        <v>0</v>
      </c>
      <c r="HN401">
        <v>30</v>
      </c>
      <c r="HO401" t="s">
        <v>1</v>
      </c>
      <c r="HP401" s="26" t="s">
        <v>1358</v>
      </c>
      <c r="HZ401" t="s">
        <v>969</v>
      </c>
      <c r="IA401">
        <v>200</v>
      </c>
      <c r="IB401" s="10" t="s">
        <v>1</v>
      </c>
      <c r="IC401" s="10"/>
      <c r="ID401" s="10"/>
      <c r="IE401" s="10" t="s">
        <v>1</v>
      </c>
      <c r="IF401" s="10" t="s">
        <v>1</v>
      </c>
      <c r="IG401" s="10"/>
      <c r="IH401" s="10"/>
      <c r="II401" s="10"/>
      <c r="IJ401" s="10"/>
      <c r="IK401" s="10"/>
      <c r="IL401" s="10"/>
      <c r="IM401" s="10"/>
      <c r="IN401" s="10"/>
      <c r="IO401" s="10"/>
      <c r="IP401" s="10"/>
      <c r="IQ401" s="10"/>
      <c r="IR401" s="10"/>
      <c r="IS401" t="s">
        <v>978</v>
      </c>
      <c r="IT401">
        <v>204</v>
      </c>
      <c r="IW401" t="s">
        <v>1</v>
      </c>
      <c r="IX401" t="s">
        <v>1</v>
      </c>
      <c r="IY401" t="s">
        <v>808</v>
      </c>
      <c r="IZ401">
        <v>5250</v>
      </c>
      <c r="JA401" t="s">
        <v>1</v>
      </c>
      <c r="JB401" s="3" t="s">
        <v>1</v>
      </c>
      <c r="JC401" t="s">
        <v>1</v>
      </c>
      <c r="JD401" s="4" t="s">
        <v>1</v>
      </c>
      <c r="JE401" t="s">
        <v>1</v>
      </c>
      <c r="JF401" t="s">
        <v>1</v>
      </c>
      <c r="JR401" t="s">
        <v>1066</v>
      </c>
      <c r="JS401">
        <v>203.6</v>
      </c>
      <c r="JU401" t="s">
        <v>1</v>
      </c>
      <c r="JW401" t="s">
        <v>1</v>
      </c>
      <c r="JX401">
        <v>0</v>
      </c>
      <c r="JY401">
        <v>40</v>
      </c>
      <c r="JZ401" t="s">
        <v>803</v>
      </c>
      <c r="KA401" t="s">
        <v>459</v>
      </c>
      <c r="KB401" t="s">
        <v>738</v>
      </c>
      <c r="KC401" t="s">
        <v>1</v>
      </c>
      <c r="KD401" t="s">
        <v>1</v>
      </c>
      <c r="KE401" s="1" t="s">
        <v>1</v>
      </c>
      <c r="KF401" t="s">
        <v>1</v>
      </c>
      <c r="KG401" t="s">
        <v>1</v>
      </c>
      <c r="KH401" t="s">
        <v>1</v>
      </c>
      <c r="KI401" t="s">
        <v>1</v>
      </c>
      <c r="KJ401" t="s">
        <v>1</v>
      </c>
      <c r="KK401" t="s">
        <v>1</v>
      </c>
    </row>
    <row r="402" spans="1:297" x14ac:dyDescent="0.2">
      <c r="A402">
        <v>370</v>
      </c>
      <c r="B402" t="s">
        <v>705</v>
      </c>
      <c r="C402" t="s">
        <v>461</v>
      </c>
      <c r="D402" t="s">
        <v>457</v>
      </c>
      <c r="E402">
        <v>66</v>
      </c>
      <c r="F402" t="s">
        <v>782</v>
      </c>
      <c r="G402" t="s">
        <v>1</v>
      </c>
      <c r="H402" s="26" t="s">
        <v>1420</v>
      </c>
      <c r="I402" t="s">
        <v>1</v>
      </c>
      <c r="J402" t="s">
        <v>1</v>
      </c>
      <c r="K402" t="s">
        <v>1</v>
      </c>
      <c r="L402" t="s">
        <v>1</v>
      </c>
      <c r="M402" t="s">
        <v>1</v>
      </c>
      <c r="N402" t="s">
        <v>1</v>
      </c>
      <c r="O402" t="s">
        <v>1</v>
      </c>
      <c r="P402" t="s">
        <v>1</v>
      </c>
      <c r="Q402" t="s">
        <v>1</v>
      </c>
      <c r="R402" t="s">
        <v>1</v>
      </c>
      <c r="S402" t="s">
        <v>1</v>
      </c>
      <c r="T402" t="s">
        <v>1</v>
      </c>
      <c r="U402" t="s">
        <v>1</v>
      </c>
      <c r="V402" t="s">
        <v>1</v>
      </c>
      <c r="W402" t="s">
        <v>1</v>
      </c>
      <c r="X402" t="s">
        <v>1</v>
      </c>
      <c r="Y402" t="s">
        <v>1</v>
      </c>
      <c r="Z402" t="s">
        <v>1</v>
      </c>
      <c r="AA402" t="s">
        <v>1</v>
      </c>
      <c r="AB402" t="s">
        <v>1</v>
      </c>
      <c r="AC402" t="s">
        <v>1</v>
      </c>
      <c r="AD402" t="s">
        <v>1</v>
      </c>
      <c r="AE402" t="s">
        <v>1</v>
      </c>
      <c r="AF402" t="s">
        <v>1</v>
      </c>
      <c r="AG402" t="s">
        <v>1</v>
      </c>
      <c r="AH402" t="s">
        <v>1</v>
      </c>
      <c r="AI402" t="s">
        <v>1</v>
      </c>
      <c r="AJ402" t="s">
        <v>1</v>
      </c>
      <c r="AK402" t="s">
        <v>1</v>
      </c>
      <c r="AL402" t="s">
        <v>1</v>
      </c>
      <c r="AM402" t="s">
        <v>1</v>
      </c>
      <c r="AN402">
        <v>370</v>
      </c>
      <c r="AO402">
        <f t="shared" si="54"/>
        <v>370</v>
      </c>
      <c r="AP402">
        <f t="shared" si="55"/>
        <v>66</v>
      </c>
      <c r="AQ402">
        <f t="shared" si="56"/>
        <v>66</v>
      </c>
      <c r="AR402" s="26" t="s">
        <v>1355</v>
      </c>
      <c r="AS402" s="26" t="s">
        <v>1356</v>
      </c>
      <c r="AT402" t="s">
        <v>706</v>
      </c>
      <c r="AU402" t="s">
        <v>1</v>
      </c>
      <c r="AV402" t="s">
        <v>1</v>
      </c>
      <c r="AW402">
        <v>-19.28</v>
      </c>
      <c r="AX402">
        <v>29.35</v>
      </c>
      <c r="AY402" t="s">
        <v>737</v>
      </c>
      <c r="BA402" s="3">
        <v>4</v>
      </c>
      <c r="BB402" s="3"/>
      <c r="BC402" s="3"/>
      <c r="BD402" s="3"/>
      <c r="BE402" s="3"/>
      <c r="BF402">
        <v>2008</v>
      </c>
      <c r="BG402" s="24" t="s">
        <v>733</v>
      </c>
      <c r="BH402" s="24" t="s">
        <v>733</v>
      </c>
      <c r="BI402" s="24" t="s">
        <v>733</v>
      </c>
      <c r="BJ402" s="24" t="s">
        <v>732</v>
      </c>
      <c r="BK402" s="24" t="s">
        <v>733</v>
      </c>
      <c r="BL402" s="25" t="s">
        <v>733</v>
      </c>
      <c r="BM402" s="24" t="s">
        <v>733</v>
      </c>
      <c r="BN402" s="24" t="s">
        <v>732</v>
      </c>
      <c r="BO402" s="24" t="s">
        <v>733</v>
      </c>
      <c r="BP402" s="24" t="s">
        <v>733</v>
      </c>
      <c r="BQ402" s="24" t="s">
        <v>945</v>
      </c>
      <c r="BR402" s="24" t="s">
        <v>945</v>
      </c>
      <c r="BS402" s="25" t="s">
        <v>934</v>
      </c>
      <c r="BT402" s="24" t="s">
        <v>934</v>
      </c>
      <c r="BU402" s="24" t="s">
        <v>934</v>
      </c>
      <c r="BV402" s="24" t="s">
        <v>934</v>
      </c>
      <c r="BW402" s="24" t="s">
        <v>934</v>
      </c>
      <c r="BX402" s="24" t="s">
        <v>934</v>
      </c>
      <c r="BY402" s="25" t="s">
        <v>945</v>
      </c>
      <c r="BZ402" t="s">
        <v>788</v>
      </c>
      <c r="CB402" t="s">
        <v>1394</v>
      </c>
      <c r="CC402" s="4" t="s">
        <v>1</v>
      </c>
      <c r="CD402" s="4"/>
      <c r="CE402" s="4"/>
      <c r="CF402" t="s">
        <v>1</v>
      </c>
      <c r="CG402" t="s">
        <v>1</v>
      </c>
      <c r="CH402" t="s">
        <v>805</v>
      </c>
      <c r="CI402" s="28">
        <v>0.4</v>
      </c>
      <c r="CJ402" s="9" t="s">
        <v>1</v>
      </c>
      <c r="CK402" s="9" t="s">
        <v>1</v>
      </c>
      <c r="CL402" s="4" t="s">
        <v>1</v>
      </c>
      <c r="CM402" t="s">
        <v>847</v>
      </c>
      <c r="CN402" s="4">
        <f>SUM(146.2,136.2,138.2,121.8)</f>
        <v>542.4</v>
      </c>
      <c r="CO402" s="4" t="s">
        <v>1</v>
      </c>
      <c r="CP402" s="4" t="s">
        <v>1</v>
      </c>
      <c r="CQ402" s="4" t="s">
        <v>1</v>
      </c>
      <c r="CR402" s="4" t="s">
        <v>1</v>
      </c>
      <c r="CS402" s="4" t="s">
        <v>1</v>
      </c>
      <c r="CT402" s="4" t="s">
        <v>1</v>
      </c>
      <c r="CU402" s="4" t="s">
        <v>1</v>
      </c>
      <c r="CV402" t="s">
        <v>852</v>
      </c>
      <c r="CW402">
        <v>100</v>
      </c>
      <c r="CX402">
        <v>0</v>
      </c>
      <c r="CY402">
        <v>30</v>
      </c>
      <c r="CZ402" s="26" t="s">
        <v>1358</v>
      </c>
      <c r="DA402" t="s">
        <v>734</v>
      </c>
      <c r="DB402">
        <v>83.3</v>
      </c>
      <c r="DC402">
        <v>0</v>
      </c>
      <c r="DD402">
        <v>30</v>
      </c>
      <c r="DE402" s="26" t="s">
        <v>1358</v>
      </c>
      <c r="DF402" t="s">
        <v>735</v>
      </c>
      <c r="DG402">
        <v>11.7</v>
      </c>
      <c r="DH402">
        <v>0</v>
      </c>
      <c r="DI402">
        <v>30</v>
      </c>
      <c r="DJ402" s="26" t="s">
        <v>1358</v>
      </c>
      <c r="DK402" t="s">
        <v>736</v>
      </c>
      <c r="DL402">
        <v>5</v>
      </c>
      <c r="DM402">
        <v>0</v>
      </c>
      <c r="DN402">
        <v>30</v>
      </c>
      <c r="DO402" s="26" t="s">
        <v>1358</v>
      </c>
      <c r="DP402" t="s">
        <v>6</v>
      </c>
      <c r="DQ402" t="s">
        <v>813</v>
      </c>
      <c r="DR402">
        <v>5.6</v>
      </c>
      <c r="DS402">
        <v>0</v>
      </c>
      <c r="DT402">
        <v>30</v>
      </c>
      <c r="DU402" s="26" t="s">
        <v>1358</v>
      </c>
      <c r="EA402" t="s">
        <v>982</v>
      </c>
      <c r="EB402">
        <v>3.3000000000000003</v>
      </c>
      <c r="EC402">
        <v>0</v>
      </c>
      <c r="ED402">
        <v>30</v>
      </c>
      <c r="EE402" s="26" t="s">
        <v>1358</v>
      </c>
      <c r="EF402" s="26"/>
      <c r="FZ402" t="s">
        <v>806</v>
      </c>
      <c r="GA402">
        <v>1063</v>
      </c>
      <c r="GE402" s="26" t="s">
        <v>1358</v>
      </c>
      <c r="HA402" s="5" t="s">
        <v>1</v>
      </c>
      <c r="HB402" s="4" t="s">
        <v>1</v>
      </c>
      <c r="HC402" t="s">
        <v>1</v>
      </c>
      <c r="HD402" t="s">
        <v>1</v>
      </c>
      <c r="HE402" t="s">
        <v>1</v>
      </c>
      <c r="HF402" s="5" t="s">
        <v>1063</v>
      </c>
      <c r="HG402" s="4">
        <v>0.22666666666666668</v>
      </c>
      <c r="HH402">
        <v>0</v>
      </c>
      <c r="HI402">
        <v>30</v>
      </c>
      <c r="HJ402" s="26" t="s">
        <v>1358</v>
      </c>
      <c r="HK402" t="s">
        <v>815</v>
      </c>
      <c r="HL402" s="4">
        <v>1.3666666666666667</v>
      </c>
      <c r="HM402">
        <v>0</v>
      </c>
      <c r="HN402">
        <v>30</v>
      </c>
      <c r="HO402" t="s">
        <v>1</v>
      </c>
      <c r="HP402" s="26" t="s">
        <v>1358</v>
      </c>
      <c r="HZ402" t="s">
        <v>969</v>
      </c>
      <c r="IA402">
        <v>200</v>
      </c>
      <c r="IB402" s="10" t="s">
        <v>1</v>
      </c>
      <c r="IC402" s="10"/>
      <c r="ID402" s="10"/>
      <c r="IE402" s="10" t="s">
        <v>1</v>
      </c>
      <c r="IF402" s="10" t="s">
        <v>1</v>
      </c>
      <c r="IG402" s="10"/>
      <c r="IH402" s="10"/>
      <c r="II402" s="10"/>
      <c r="IJ402" s="10"/>
      <c r="IK402" s="10"/>
      <c r="IL402" s="10"/>
      <c r="IM402" s="10"/>
      <c r="IN402" s="10"/>
      <c r="IO402" s="10"/>
      <c r="IP402" s="10"/>
      <c r="IQ402" s="10"/>
      <c r="IR402" s="10"/>
      <c r="IS402" t="s">
        <v>978</v>
      </c>
      <c r="IT402">
        <v>408</v>
      </c>
      <c r="IW402" t="s">
        <v>1</v>
      </c>
      <c r="IX402" t="s">
        <v>1</v>
      </c>
      <c r="IY402" t="s">
        <v>808</v>
      </c>
      <c r="IZ402">
        <v>5250</v>
      </c>
      <c r="JA402" t="s">
        <v>1</v>
      </c>
      <c r="JB402" s="3" t="s">
        <v>1</v>
      </c>
      <c r="JC402" t="s">
        <v>1</v>
      </c>
      <c r="JD402" s="4" t="s">
        <v>1</v>
      </c>
      <c r="JE402" t="s">
        <v>1</v>
      </c>
      <c r="JF402" t="s">
        <v>1</v>
      </c>
      <c r="JR402" t="s">
        <v>1066</v>
      </c>
      <c r="JS402">
        <v>326.2</v>
      </c>
      <c r="JU402" t="s">
        <v>1</v>
      </c>
      <c r="JW402" t="s">
        <v>1</v>
      </c>
      <c r="JX402">
        <v>0</v>
      </c>
      <c r="JY402">
        <v>40</v>
      </c>
      <c r="JZ402" t="s">
        <v>803</v>
      </c>
      <c r="KA402" t="s">
        <v>459</v>
      </c>
      <c r="KB402" t="s">
        <v>738</v>
      </c>
      <c r="KC402" t="s">
        <v>1</v>
      </c>
      <c r="KD402" t="s">
        <v>1</v>
      </c>
      <c r="KE402" s="1" t="s">
        <v>1</v>
      </c>
      <c r="KF402" t="s">
        <v>1</v>
      </c>
      <c r="KG402" t="s">
        <v>1</v>
      </c>
      <c r="KH402" t="s">
        <v>1</v>
      </c>
      <c r="KI402" t="s">
        <v>1</v>
      </c>
      <c r="KJ402" t="s">
        <v>1</v>
      </c>
      <c r="KK402" t="s">
        <v>1</v>
      </c>
    </row>
    <row r="403" spans="1:297" x14ac:dyDescent="0.2">
      <c r="A403">
        <v>371</v>
      </c>
      <c r="B403" t="s">
        <v>705</v>
      </c>
      <c r="C403" t="s">
        <v>462</v>
      </c>
      <c r="D403" t="s">
        <v>457</v>
      </c>
      <c r="E403">
        <v>66</v>
      </c>
      <c r="F403" t="s">
        <v>782</v>
      </c>
      <c r="G403" t="s">
        <v>1</v>
      </c>
      <c r="H403" s="26" t="s">
        <v>1420</v>
      </c>
      <c r="I403" t="s">
        <v>1</v>
      </c>
      <c r="J403" t="s">
        <v>1</v>
      </c>
      <c r="K403" t="s">
        <v>1</v>
      </c>
      <c r="L403" t="s">
        <v>1</v>
      </c>
      <c r="M403" t="s">
        <v>1</v>
      </c>
      <c r="N403" t="s">
        <v>1</v>
      </c>
      <c r="O403" t="s">
        <v>1</v>
      </c>
      <c r="P403" t="s">
        <v>1</v>
      </c>
      <c r="Q403" t="s">
        <v>1</v>
      </c>
      <c r="R403" t="s">
        <v>1</v>
      </c>
      <c r="S403" t="s">
        <v>1</v>
      </c>
      <c r="T403" t="s">
        <v>1</v>
      </c>
      <c r="U403" t="s">
        <v>1</v>
      </c>
      <c r="V403" t="s">
        <v>1</v>
      </c>
      <c r="W403" t="s">
        <v>1</v>
      </c>
      <c r="X403" t="s">
        <v>1</v>
      </c>
      <c r="Y403" t="s">
        <v>1</v>
      </c>
      <c r="Z403" t="s">
        <v>1</v>
      </c>
      <c r="AA403" t="s">
        <v>1</v>
      </c>
      <c r="AB403" t="s">
        <v>1</v>
      </c>
      <c r="AC403" t="s">
        <v>1</v>
      </c>
      <c r="AD403" t="s">
        <v>1</v>
      </c>
      <c r="AE403" t="s">
        <v>1</v>
      </c>
      <c r="AF403" t="s">
        <v>1</v>
      </c>
      <c r="AG403" t="s">
        <v>1</v>
      </c>
      <c r="AH403" t="s">
        <v>1</v>
      </c>
      <c r="AI403" t="s">
        <v>1</v>
      </c>
      <c r="AJ403" t="s">
        <v>1</v>
      </c>
      <c r="AK403" t="s">
        <v>1</v>
      </c>
      <c r="AL403" t="s">
        <v>1</v>
      </c>
      <c r="AM403" t="s">
        <v>1</v>
      </c>
      <c r="AN403">
        <v>371</v>
      </c>
      <c r="AO403">
        <f t="shared" si="54"/>
        <v>371</v>
      </c>
      <c r="AP403">
        <f t="shared" si="55"/>
        <v>66</v>
      </c>
      <c r="AQ403">
        <f t="shared" si="56"/>
        <v>66</v>
      </c>
      <c r="AR403" s="26" t="s">
        <v>1355</v>
      </c>
      <c r="AS403" s="26" t="s">
        <v>1356</v>
      </c>
      <c r="AT403" t="s">
        <v>706</v>
      </c>
      <c r="AU403" t="s">
        <v>1</v>
      </c>
      <c r="AV403" t="s">
        <v>1</v>
      </c>
      <c r="AW403">
        <v>-19.28</v>
      </c>
      <c r="AX403">
        <v>29.35</v>
      </c>
      <c r="AY403" t="s">
        <v>737</v>
      </c>
      <c r="BA403" s="3">
        <v>4</v>
      </c>
      <c r="BB403" s="3"/>
      <c r="BC403" s="3"/>
      <c r="BD403" s="3"/>
      <c r="BE403" s="3"/>
      <c r="BF403">
        <v>2008</v>
      </c>
      <c r="BG403" s="24" t="s">
        <v>733</v>
      </c>
      <c r="BH403" s="24" t="s">
        <v>733</v>
      </c>
      <c r="BI403" s="24" t="s">
        <v>733</v>
      </c>
      <c r="BJ403" s="24" t="s">
        <v>732</v>
      </c>
      <c r="BK403" s="24" t="s">
        <v>733</v>
      </c>
      <c r="BL403" s="25" t="s">
        <v>733</v>
      </c>
      <c r="BM403" s="24" t="s">
        <v>733</v>
      </c>
      <c r="BN403" s="24" t="s">
        <v>732</v>
      </c>
      <c r="BO403" s="24" t="s">
        <v>733</v>
      </c>
      <c r="BP403" s="24" t="s">
        <v>733</v>
      </c>
      <c r="BQ403" s="24" t="s">
        <v>945</v>
      </c>
      <c r="BR403" s="24" t="s">
        <v>945</v>
      </c>
      <c r="BS403" s="25" t="s">
        <v>934</v>
      </c>
      <c r="BT403" s="24" t="s">
        <v>934</v>
      </c>
      <c r="BU403" s="24" t="s">
        <v>934</v>
      </c>
      <c r="BV403" s="24" t="s">
        <v>934</v>
      </c>
      <c r="BW403" s="24" t="s">
        <v>934</v>
      </c>
      <c r="BX403" s="24" t="s">
        <v>934</v>
      </c>
      <c r="BY403" s="25" t="s">
        <v>945</v>
      </c>
      <c r="BZ403" t="s">
        <v>788</v>
      </c>
      <c r="CB403" t="s">
        <v>1394</v>
      </c>
      <c r="CC403" s="4" t="s">
        <v>1</v>
      </c>
      <c r="CD403" s="4"/>
      <c r="CE403" s="4"/>
      <c r="CF403" t="s">
        <v>1</v>
      </c>
      <c r="CG403" t="s">
        <v>1</v>
      </c>
      <c r="CH403" t="s">
        <v>805</v>
      </c>
      <c r="CI403" s="28">
        <v>0.4</v>
      </c>
      <c r="CJ403" s="9" t="s">
        <v>1</v>
      </c>
      <c r="CK403" s="9" t="s">
        <v>1</v>
      </c>
      <c r="CL403" s="4" t="s">
        <v>1</v>
      </c>
      <c r="CM403" t="s">
        <v>847</v>
      </c>
      <c r="CN403" s="4">
        <f>SUM(27.6,10.2,35.8,32.4)</f>
        <v>106</v>
      </c>
      <c r="CO403" s="4" t="s">
        <v>1</v>
      </c>
      <c r="CP403" s="4" t="s">
        <v>1</v>
      </c>
      <c r="CQ403" s="4" t="s">
        <v>1</v>
      </c>
      <c r="CR403" s="4" t="s">
        <v>1</v>
      </c>
      <c r="CS403" s="4" t="s">
        <v>1</v>
      </c>
      <c r="CT403" s="4" t="s">
        <v>1</v>
      </c>
      <c r="CU403" s="4" t="s">
        <v>1</v>
      </c>
      <c r="CV403" t="s">
        <v>852</v>
      </c>
      <c r="CW403">
        <v>100</v>
      </c>
      <c r="CX403">
        <v>0</v>
      </c>
      <c r="CY403">
        <v>30</v>
      </c>
      <c r="CZ403" s="26" t="s">
        <v>1358</v>
      </c>
      <c r="DA403" t="s">
        <v>734</v>
      </c>
      <c r="DB403">
        <v>83.3</v>
      </c>
      <c r="DC403">
        <v>0</v>
      </c>
      <c r="DD403">
        <v>30</v>
      </c>
      <c r="DE403" s="26" t="s">
        <v>1358</v>
      </c>
      <c r="DF403" t="s">
        <v>735</v>
      </c>
      <c r="DG403">
        <v>11.7</v>
      </c>
      <c r="DH403">
        <v>0</v>
      </c>
      <c r="DI403">
        <v>30</v>
      </c>
      <c r="DJ403" s="26" t="s">
        <v>1358</v>
      </c>
      <c r="DK403" t="s">
        <v>736</v>
      </c>
      <c r="DL403">
        <v>5</v>
      </c>
      <c r="DM403">
        <v>0</v>
      </c>
      <c r="DN403">
        <v>30</v>
      </c>
      <c r="DO403" s="26" t="s">
        <v>1358</v>
      </c>
      <c r="DP403" t="s">
        <v>6</v>
      </c>
      <c r="DQ403" t="s">
        <v>813</v>
      </c>
      <c r="DR403">
        <v>5.6</v>
      </c>
      <c r="DS403">
        <v>0</v>
      </c>
      <c r="DT403">
        <v>30</v>
      </c>
      <c r="DU403" s="26" t="s">
        <v>1358</v>
      </c>
      <c r="EA403" t="s">
        <v>982</v>
      </c>
      <c r="EB403">
        <v>3.3000000000000003</v>
      </c>
      <c r="EC403">
        <v>0</v>
      </c>
      <c r="ED403">
        <v>30</v>
      </c>
      <c r="EE403" s="26" t="s">
        <v>1358</v>
      </c>
      <c r="EF403" s="26"/>
      <c r="FZ403" t="s">
        <v>806</v>
      </c>
      <c r="GA403">
        <v>1063</v>
      </c>
      <c r="GE403" s="26" t="s">
        <v>1358</v>
      </c>
      <c r="HA403" s="5" t="s">
        <v>1</v>
      </c>
      <c r="HB403" s="4" t="s">
        <v>1</v>
      </c>
      <c r="HC403" t="s">
        <v>1</v>
      </c>
      <c r="HD403" t="s">
        <v>1</v>
      </c>
      <c r="HE403" t="s">
        <v>1</v>
      </c>
      <c r="HF403" s="5" t="s">
        <v>1063</v>
      </c>
      <c r="HG403" s="4">
        <v>0.22666666666666668</v>
      </c>
      <c r="HH403">
        <v>0</v>
      </c>
      <c r="HI403">
        <v>30</v>
      </c>
      <c r="HJ403" s="26" t="s">
        <v>1358</v>
      </c>
      <c r="HK403" t="s">
        <v>815</v>
      </c>
      <c r="HL403" s="4">
        <v>1.3666666666666667</v>
      </c>
      <c r="HM403">
        <v>0</v>
      </c>
      <c r="HN403">
        <v>30</v>
      </c>
      <c r="HO403" t="s">
        <v>1</v>
      </c>
      <c r="HP403" s="26" t="s">
        <v>1358</v>
      </c>
      <c r="HZ403" t="s">
        <v>969</v>
      </c>
      <c r="IA403">
        <v>200</v>
      </c>
      <c r="IB403" s="10" t="s">
        <v>1</v>
      </c>
      <c r="IC403" s="10"/>
      <c r="ID403" s="10"/>
      <c r="IE403" s="10" t="s">
        <v>1</v>
      </c>
      <c r="IF403" s="10" t="s">
        <v>1</v>
      </c>
      <c r="IG403" s="10"/>
      <c r="IH403" s="10"/>
      <c r="II403" s="10"/>
      <c r="IJ403" s="10"/>
      <c r="IK403" s="10"/>
      <c r="IL403" s="10"/>
      <c r="IM403" s="10"/>
      <c r="IN403" s="10"/>
      <c r="IO403" s="10"/>
      <c r="IP403" s="10"/>
      <c r="IQ403" s="10"/>
      <c r="IR403" s="10"/>
      <c r="IS403" t="s">
        <v>1</v>
      </c>
      <c r="IT403" t="s">
        <v>1</v>
      </c>
      <c r="IW403" t="s">
        <v>1</v>
      </c>
      <c r="IX403" t="s">
        <v>1</v>
      </c>
      <c r="IY403" t="s">
        <v>808</v>
      </c>
      <c r="IZ403">
        <v>5250</v>
      </c>
      <c r="JA403" t="s">
        <v>1</v>
      </c>
      <c r="JB403" s="3" t="s">
        <v>1</v>
      </c>
      <c r="JC403" t="s">
        <v>1</v>
      </c>
      <c r="JD403" s="4" t="s">
        <v>1</v>
      </c>
      <c r="JE403" t="s">
        <v>1</v>
      </c>
      <c r="JF403" t="s">
        <v>1</v>
      </c>
      <c r="JR403" t="s">
        <v>1066</v>
      </c>
      <c r="JS403">
        <v>138.6</v>
      </c>
      <c r="JU403" t="s">
        <v>1</v>
      </c>
      <c r="JW403" t="s">
        <v>1</v>
      </c>
      <c r="JX403">
        <v>0</v>
      </c>
      <c r="JY403">
        <v>40</v>
      </c>
      <c r="JZ403" t="s">
        <v>803</v>
      </c>
      <c r="KA403" t="s">
        <v>459</v>
      </c>
      <c r="KB403" t="s">
        <v>738</v>
      </c>
      <c r="KC403" t="s">
        <v>1</v>
      </c>
      <c r="KD403" t="s">
        <v>1</v>
      </c>
      <c r="KE403" s="1" t="s">
        <v>1</v>
      </c>
      <c r="KF403" t="s">
        <v>1</v>
      </c>
      <c r="KG403" t="s">
        <v>1</v>
      </c>
      <c r="KH403" t="s">
        <v>1</v>
      </c>
      <c r="KI403" t="s">
        <v>1</v>
      </c>
      <c r="KJ403" t="s">
        <v>1</v>
      </c>
      <c r="KK403" t="s">
        <v>1</v>
      </c>
    </row>
    <row r="404" spans="1:297" x14ac:dyDescent="0.2">
      <c r="A404">
        <v>372</v>
      </c>
      <c r="B404" t="s">
        <v>705</v>
      </c>
      <c r="C404" t="s">
        <v>463</v>
      </c>
      <c r="D404" t="s">
        <v>457</v>
      </c>
      <c r="E404">
        <v>66</v>
      </c>
      <c r="F404" t="s">
        <v>782</v>
      </c>
      <c r="G404" t="s">
        <v>1</v>
      </c>
      <c r="H404" s="26" t="s">
        <v>1420</v>
      </c>
      <c r="I404" t="s">
        <v>1</v>
      </c>
      <c r="J404" t="s">
        <v>1</v>
      </c>
      <c r="K404" t="s">
        <v>1</v>
      </c>
      <c r="L404" t="s">
        <v>1</v>
      </c>
      <c r="M404" t="s">
        <v>1</v>
      </c>
      <c r="N404" t="s">
        <v>1</v>
      </c>
      <c r="O404" t="s">
        <v>1</v>
      </c>
      <c r="P404" t="s">
        <v>1</v>
      </c>
      <c r="Q404" t="s">
        <v>1</v>
      </c>
      <c r="R404" t="s">
        <v>1</v>
      </c>
      <c r="S404" t="s">
        <v>1</v>
      </c>
      <c r="T404" t="s">
        <v>1</v>
      </c>
      <c r="U404" t="s">
        <v>1</v>
      </c>
      <c r="V404" t="s">
        <v>1</v>
      </c>
      <c r="W404" t="s">
        <v>1</v>
      </c>
      <c r="X404" t="s">
        <v>1</v>
      </c>
      <c r="Y404" t="s">
        <v>1</v>
      </c>
      <c r="Z404" t="s">
        <v>1</v>
      </c>
      <c r="AA404" t="s">
        <v>1</v>
      </c>
      <c r="AB404" t="s">
        <v>1</v>
      </c>
      <c r="AC404" t="s">
        <v>1</v>
      </c>
      <c r="AD404" t="s">
        <v>1</v>
      </c>
      <c r="AE404" t="s">
        <v>1</v>
      </c>
      <c r="AF404" t="s">
        <v>1</v>
      </c>
      <c r="AG404" t="s">
        <v>1</v>
      </c>
      <c r="AH404" t="s">
        <v>1</v>
      </c>
      <c r="AI404" t="s">
        <v>1</v>
      </c>
      <c r="AJ404" t="s">
        <v>1</v>
      </c>
      <c r="AK404" t="s">
        <v>1</v>
      </c>
      <c r="AL404" t="s">
        <v>1</v>
      </c>
      <c r="AM404" t="s">
        <v>1</v>
      </c>
      <c r="AN404">
        <v>372</v>
      </c>
      <c r="AO404">
        <f t="shared" si="54"/>
        <v>372</v>
      </c>
      <c r="AP404">
        <f t="shared" si="55"/>
        <v>66</v>
      </c>
      <c r="AQ404">
        <f t="shared" si="56"/>
        <v>66</v>
      </c>
      <c r="AR404" s="26" t="s">
        <v>1355</v>
      </c>
      <c r="AS404" s="26" t="s">
        <v>1356</v>
      </c>
      <c r="AT404" t="s">
        <v>706</v>
      </c>
      <c r="AU404" t="s">
        <v>1</v>
      </c>
      <c r="AV404" t="s">
        <v>1</v>
      </c>
      <c r="AW404">
        <v>-19.28</v>
      </c>
      <c r="AX404">
        <v>29.35</v>
      </c>
      <c r="AY404" t="s">
        <v>737</v>
      </c>
      <c r="BA404" s="3">
        <v>4</v>
      </c>
      <c r="BB404" s="3"/>
      <c r="BC404" s="3"/>
      <c r="BD404" s="3"/>
      <c r="BE404" s="3"/>
      <c r="BF404">
        <v>2008</v>
      </c>
      <c r="BG404" s="24" t="s">
        <v>733</v>
      </c>
      <c r="BH404" s="24" t="s">
        <v>733</v>
      </c>
      <c r="BI404" s="24" t="s">
        <v>733</v>
      </c>
      <c r="BJ404" s="24" t="s">
        <v>732</v>
      </c>
      <c r="BK404" s="24" t="s">
        <v>733</v>
      </c>
      <c r="BL404" s="25" t="s">
        <v>733</v>
      </c>
      <c r="BM404" s="24" t="s">
        <v>733</v>
      </c>
      <c r="BN404" s="24" t="s">
        <v>732</v>
      </c>
      <c r="BO404" s="24" t="s">
        <v>733</v>
      </c>
      <c r="BP404" s="24" t="s">
        <v>733</v>
      </c>
      <c r="BQ404" s="24" t="s">
        <v>945</v>
      </c>
      <c r="BR404" s="24" t="s">
        <v>945</v>
      </c>
      <c r="BS404" s="25" t="s">
        <v>934</v>
      </c>
      <c r="BT404" s="24" t="s">
        <v>934</v>
      </c>
      <c r="BU404" s="24" t="s">
        <v>934</v>
      </c>
      <c r="BV404" s="24" t="s">
        <v>934</v>
      </c>
      <c r="BW404" s="24" t="s">
        <v>934</v>
      </c>
      <c r="BX404" s="24" t="s">
        <v>934</v>
      </c>
      <c r="BY404" s="25" t="s">
        <v>945</v>
      </c>
      <c r="BZ404" t="s">
        <v>788</v>
      </c>
      <c r="CB404" t="s">
        <v>1394</v>
      </c>
      <c r="CC404" s="4" t="s">
        <v>1</v>
      </c>
      <c r="CD404" s="4"/>
      <c r="CE404" s="4"/>
      <c r="CF404" t="s">
        <v>1</v>
      </c>
      <c r="CG404" t="s">
        <v>1</v>
      </c>
      <c r="CH404" t="s">
        <v>805</v>
      </c>
      <c r="CI404" s="28">
        <v>0.4</v>
      </c>
      <c r="CJ404" s="9" t="s">
        <v>1</v>
      </c>
      <c r="CK404" s="9" t="s">
        <v>1</v>
      </c>
      <c r="CL404" s="4" t="s">
        <v>1</v>
      </c>
      <c r="CM404" t="s">
        <v>847</v>
      </c>
      <c r="CN404" s="4">
        <f>SUM(74.8,46.5,44.2,51)</f>
        <v>216.5</v>
      </c>
      <c r="CO404" s="4" t="s">
        <v>1</v>
      </c>
      <c r="CP404" s="4" t="s">
        <v>1</v>
      </c>
      <c r="CQ404" s="4" t="s">
        <v>1</v>
      </c>
      <c r="CR404" s="4" t="s">
        <v>1</v>
      </c>
      <c r="CS404" s="4" t="s">
        <v>1</v>
      </c>
      <c r="CT404" s="4" t="s">
        <v>1</v>
      </c>
      <c r="CU404" s="4" t="s">
        <v>1</v>
      </c>
      <c r="CV404" t="s">
        <v>852</v>
      </c>
      <c r="CW404">
        <v>100</v>
      </c>
      <c r="CX404">
        <v>0</v>
      </c>
      <c r="CY404">
        <v>30</v>
      </c>
      <c r="CZ404" s="26" t="s">
        <v>1358</v>
      </c>
      <c r="DA404" t="s">
        <v>734</v>
      </c>
      <c r="DB404">
        <v>83.3</v>
      </c>
      <c r="DC404">
        <v>0</v>
      </c>
      <c r="DD404">
        <v>30</v>
      </c>
      <c r="DE404" s="26" t="s">
        <v>1358</v>
      </c>
      <c r="DF404" t="s">
        <v>735</v>
      </c>
      <c r="DG404">
        <v>11.7</v>
      </c>
      <c r="DH404">
        <v>0</v>
      </c>
      <c r="DI404">
        <v>30</v>
      </c>
      <c r="DJ404" s="26" t="s">
        <v>1358</v>
      </c>
      <c r="DK404" t="s">
        <v>736</v>
      </c>
      <c r="DL404">
        <v>5</v>
      </c>
      <c r="DM404">
        <v>0</v>
      </c>
      <c r="DN404">
        <v>30</v>
      </c>
      <c r="DO404" s="26" t="s">
        <v>1358</v>
      </c>
      <c r="DP404" t="s">
        <v>6</v>
      </c>
      <c r="DQ404" t="s">
        <v>813</v>
      </c>
      <c r="DR404">
        <v>5.6</v>
      </c>
      <c r="DS404">
        <v>0</v>
      </c>
      <c r="DT404">
        <v>30</v>
      </c>
      <c r="DU404" s="26" t="s">
        <v>1358</v>
      </c>
      <c r="EA404" t="s">
        <v>982</v>
      </c>
      <c r="EB404">
        <v>3.3000000000000003</v>
      </c>
      <c r="EC404">
        <v>0</v>
      </c>
      <c r="ED404">
        <v>30</v>
      </c>
      <c r="EE404" s="26" t="s">
        <v>1358</v>
      </c>
      <c r="EF404" s="26"/>
      <c r="FZ404" t="s">
        <v>806</v>
      </c>
      <c r="GA404">
        <v>1063</v>
      </c>
      <c r="GE404" s="26" t="s">
        <v>1358</v>
      </c>
      <c r="HA404" s="5" t="s">
        <v>1</v>
      </c>
      <c r="HB404" s="4" t="s">
        <v>1</v>
      </c>
      <c r="HC404" t="s">
        <v>1</v>
      </c>
      <c r="HD404" t="s">
        <v>1</v>
      </c>
      <c r="HE404" t="s">
        <v>1</v>
      </c>
      <c r="HF404" s="5" t="s">
        <v>1063</v>
      </c>
      <c r="HG404" s="4">
        <v>0.22666666666666668</v>
      </c>
      <c r="HH404">
        <v>0</v>
      </c>
      <c r="HI404">
        <v>30</v>
      </c>
      <c r="HJ404" s="26" t="s">
        <v>1358</v>
      </c>
      <c r="HK404" t="s">
        <v>815</v>
      </c>
      <c r="HL404" s="4">
        <v>1.3666666666666667</v>
      </c>
      <c r="HM404">
        <v>0</v>
      </c>
      <c r="HN404">
        <v>30</v>
      </c>
      <c r="HO404" t="s">
        <v>1</v>
      </c>
      <c r="HP404" s="26" t="s">
        <v>1358</v>
      </c>
      <c r="HZ404" t="s">
        <v>969</v>
      </c>
      <c r="IA404">
        <v>200</v>
      </c>
      <c r="IB404" s="10" t="s">
        <v>1</v>
      </c>
      <c r="IC404" s="10"/>
      <c r="ID404" s="10"/>
      <c r="IE404" s="10" t="s">
        <v>1</v>
      </c>
      <c r="IF404" s="10" t="s">
        <v>1</v>
      </c>
      <c r="IG404" s="10"/>
      <c r="IH404" s="10"/>
      <c r="II404" s="10"/>
      <c r="IJ404" s="10"/>
      <c r="IK404" s="10"/>
      <c r="IL404" s="10"/>
      <c r="IM404" s="10"/>
      <c r="IN404" s="10"/>
      <c r="IO404" s="10"/>
      <c r="IP404" s="10"/>
      <c r="IQ404" s="10"/>
      <c r="IR404" s="10"/>
      <c r="IS404" t="s">
        <v>978</v>
      </c>
      <c r="IT404">
        <v>77</v>
      </c>
      <c r="IW404" t="s">
        <v>1</v>
      </c>
      <c r="IX404" t="s">
        <v>1</v>
      </c>
      <c r="IY404" t="s">
        <v>808</v>
      </c>
      <c r="IZ404">
        <v>5250</v>
      </c>
      <c r="JA404" t="s">
        <v>1</v>
      </c>
      <c r="JB404" s="3" t="s">
        <v>1</v>
      </c>
      <c r="JC404" t="s">
        <v>1</v>
      </c>
      <c r="JD404" s="4" t="s">
        <v>1</v>
      </c>
      <c r="JE404" t="s">
        <v>1</v>
      </c>
      <c r="JF404" t="s">
        <v>1</v>
      </c>
      <c r="JR404" t="s">
        <v>1066</v>
      </c>
      <c r="JS404">
        <v>161.6</v>
      </c>
      <c r="JU404" t="s">
        <v>1</v>
      </c>
      <c r="JW404" t="s">
        <v>1</v>
      </c>
      <c r="JX404">
        <v>0</v>
      </c>
      <c r="JY404">
        <v>40</v>
      </c>
      <c r="JZ404" t="s">
        <v>803</v>
      </c>
      <c r="KA404" t="s">
        <v>459</v>
      </c>
      <c r="KB404" t="s">
        <v>738</v>
      </c>
      <c r="KC404" t="s">
        <v>1</v>
      </c>
      <c r="KD404" t="s">
        <v>1</v>
      </c>
      <c r="KE404" s="1" t="s">
        <v>1</v>
      </c>
      <c r="KF404" t="s">
        <v>1</v>
      </c>
      <c r="KG404" t="s">
        <v>1</v>
      </c>
      <c r="KH404" t="s">
        <v>1</v>
      </c>
      <c r="KI404" t="s">
        <v>1</v>
      </c>
      <c r="KJ404" t="s">
        <v>1</v>
      </c>
      <c r="KK404" t="s">
        <v>1</v>
      </c>
    </row>
    <row r="405" spans="1:297" x14ac:dyDescent="0.2">
      <c r="A405">
        <v>373</v>
      </c>
      <c r="B405" t="s">
        <v>705</v>
      </c>
      <c r="C405" t="s">
        <v>464</v>
      </c>
      <c r="D405" t="s">
        <v>457</v>
      </c>
      <c r="E405">
        <v>66</v>
      </c>
      <c r="F405" t="s">
        <v>782</v>
      </c>
      <c r="G405" t="s">
        <v>1</v>
      </c>
      <c r="H405" s="26" t="s">
        <v>1420</v>
      </c>
      <c r="I405" t="s">
        <v>1</v>
      </c>
      <c r="J405" t="s">
        <v>1</v>
      </c>
      <c r="K405" t="s">
        <v>1</v>
      </c>
      <c r="L405" t="s">
        <v>1</v>
      </c>
      <c r="M405" t="s">
        <v>1</v>
      </c>
      <c r="N405" t="s">
        <v>1</v>
      </c>
      <c r="O405" t="s">
        <v>1</v>
      </c>
      <c r="P405" t="s">
        <v>1</v>
      </c>
      <c r="Q405" t="s">
        <v>1</v>
      </c>
      <c r="R405" t="s">
        <v>1</v>
      </c>
      <c r="S405" t="s">
        <v>1</v>
      </c>
      <c r="T405" t="s">
        <v>1</v>
      </c>
      <c r="U405" t="s">
        <v>1</v>
      </c>
      <c r="V405" t="s">
        <v>1</v>
      </c>
      <c r="W405" t="s">
        <v>1</v>
      </c>
      <c r="X405" t="s">
        <v>1</v>
      </c>
      <c r="Y405" t="s">
        <v>1</v>
      </c>
      <c r="Z405" t="s">
        <v>1</v>
      </c>
      <c r="AA405" t="s">
        <v>1</v>
      </c>
      <c r="AB405" t="s">
        <v>1</v>
      </c>
      <c r="AC405" t="s">
        <v>1</v>
      </c>
      <c r="AD405" t="s">
        <v>1</v>
      </c>
      <c r="AE405" t="s">
        <v>1</v>
      </c>
      <c r="AF405" t="s">
        <v>1</v>
      </c>
      <c r="AG405" t="s">
        <v>1</v>
      </c>
      <c r="AH405" t="s">
        <v>1</v>
      </c>
      <c r="AI405" t="s">
        <v>1</v>
      </c>
      <c r="AJ405" t="s">
        <v>1</v>
      </c>
      <c r="AK405" t="s">
        <v>1</v>
      </c>
      <c r="AL405" t="s">
        <v>1</v>
      </c>
      <c r="AM405" t="s">
        <v>1</v>
      </c>
      <c r="AN405">
        <v>373</v>
      </c>
      <c r="AO405">
        <f t="shared" si="54"/>
        <v>373</v>
      </c>
      <c r="AP405">
        <f t="shared" si="55"/>
        <v>66</v>
      </c>
      <c r="AQ405">
        <f t="shared" si="56"/>
        <v>66</v>
      </c>
      <c r="AR405" s="26" t="s">
        <v>1355</v>
      </c>
      <c r="AS405" s="26" t="s">
        <v>1356</v>
      </c>
      <c r="AT405" t="s">
        <v>706</v>
      </c>
      <c r="AU405" t="s">
        <v>1</v>
      </c>
      <c r="AV405" t="s">
        <v>1</v>
      </c>
      <c r="AW405">
        <v>-19.28</v>
      </c>
      <c r="AX405">
        <v>29.35</v>
      </c>
      <c r="AY405" t="s">
        <v>737</v>
      </c>
      <c r="BA405" s="3">
        <v>4</v>
      </c>
      <c r="BB405" s="3"/>
      <c r="BC405" s="3"/>
      <c r="BD405" s="3"/>
      <c r="BE405" s="3"/>
      <c r="BF405">
        <v>2008</v>
      </c>
      <c r="BG405" s="24" t="s">
        <v>733</v>
      </c>
      <c r="BH405" s="24" t="s">
        <v>733</v>
      </c>
      <c r="BI405" s="24" t="s">
        <v>733</v>
      </c>
      <c r="BJ405" s="24" t="s">
        <v>732</v>
      </c>
      <c r="BK405" s="24" t="s">
        <v>733</v>
      </c>
      <c r="BL405" s="25" t="s">
        <v>733</v>
      </c>
      <c r="BM405" s="24" t="s">
        <v>733</v>
      </c>
      <c r="BN405" s="24" t="s">
        <v>732</v>
      </c>
      <c r="BO405" s="24" t="s">
        <v>733</v>
      </c>
      <c r="BP405" s="24" t="s">
        <v>733</v>
      </c>
      <c r="BQ405" s="24" t="s">
        <v>945</v>
      </c>
      <c r="BR405" s="24" t="s">
        <v>945</v>
      </c>
      <c r="BS405" s="25" t="s">
        <v>934</v>
      </c>
      <c r="BT405" s="24" t="s">
        <v>934</v>
      </c>
      <c r="BU405" s="24" t="s">
        <v>934</v>
      </c>
      <c r="BV405" s="24" t="s">
        <v>934</v>
      </c>
      <c r="BW405" s="24" t="s">
        <v>934</v>
      </c>
      <c r="BX405" s="24" t="s">
        <v>934</v>
      </c>
      <c r="BY405" s="25" t="s">
        <v>945</v>
      </c>
      <c r="BZ405" t="s">
        <v>788</v>
      </c>
      <c r="CB405" t="s">
        <v>1394</v>
      </c>
      <c r="CC405" s="4" t="s">
        <v>1</v>
      </c>
      <c r="CD405" s="4"/>
      <c r="CE405" s="4"/>
      <c r="CF405" t="s">
        <v>1</v>
      </c>
      <c r="CG405" t="s">
        <v>1</v>
      </c>
      <c r="CH405" t="s">
        <v>805</v>
      </c>
      <c r="CI405" s="28">
        <v>0.4</v>
      </c>
      <c r="CJ405" s="9" t="s">
        <v>1</v>
      </c>
      <c r="CK405" s="9" t="s">
        <v>1</v>
      </c>
      <c r="CL405" s="4" t="s">
        <v>1</v>
      </c>
      <c r="CM405" t="s">
        <v>847</v>
      </c>
      <c r="CN405" s="4">
        <f>SUM(130.2,95.4,136.9,118.8)</f>
        <v>481.3</v>
      </c>
      <c r="CO405" s="4" t="s">
        <v>1</v>
      </c>
      <c r="CP405" s="4" t="s">
        <v>1</v>
      </c>
      <c r="CQ405" s="4" t="s">
        <v>1</v>
      </c>
      <c r="CR405" s="4" t="s">
        <v>1</v>
      </c>
      <c r="CS405" s="4" t="s">
        <v>1</v>
      </c>
      <c r="CT405" s="4" t="s">
        <v>1</v>
      </c>
      <c r="CU405" s="4" t="s">
        <v>1</v>
      </c>
      <c r="CV405" t="s">
        <v>852</v>
      </c>
      <c r="CW405">
        <v>100</v>
      </c>
      <c r="CX405">
        <v>0</v>
      </c>
      <c r="CY405">
        <v>30</v>
      </c>
      <c r="CZ405" s="26" t="s">
        <v>1358</v>
      </c>
      <c r="DA405" t="s">
        <v>734</v>
      </c>
      <c r="DB405">
        <v>83.3</v>
      </c>
      <c r="DC405">
        <v>0</v>
      </c>
      <c r="DD405">
        <v>30</v>
      </c>
      <c r="DE405" s="26" t="s">
        <v>1358</v>
      </c>
      <c r="DF405" t="s">
        <v>735</v>
      </c>
      <c r="DG405">
        <v>11.7</v>
      </c>
      <c r="DH405">
        <v>0</v>
      </c>
      <c r="DI405">
        <v>30</v>
      </c>
      <c r="DJ405" s="26" t="s">
        <v>1358</v>
      </c>
      <c r="DK405" t="s">
        <v>736</v>
      </c>
      <c r="DL405">
        <v>5</v>
      </c>
      <c r="DM405">
        <v>0</v>
      </c>
      <c r="DN405">
        <v>30</v>
      </c>
      <c r="DO405" s="26" t="s">
        <v>1358</v>
      </c>
      <c r="DP405" t="s">
        <v>6</v>
      </c>
      <c r="DQ405" t="s">
        <v>813</v>
      </c>
      <c r="DR405">
        <v>5.6</v>
      </c>
      <c r="DS405">
        <v>0</v>
      </c>
      <c r="DT405">
        <v>30</v>
      </c>
      <c r="DU405" s="26" t="s">
        <v>1358</v>
      </c>
      <c r="EA405" t="s">
        <v>982</v>
      </c>
      <c r="EB405">
        <v>3.3000000000000003</v>
      </c>
      <c r="EC405">
        <v>0</v>
      </c>
      <c r="ED405">
        <v>30</v>
      </c>
      <c r="EE405" s="26" t="s">
        <v>1358</v>
      </c>
      <c r="EF405" s="26"/>
      <c r="FZ405" t="s">
        <v>806</v>
      </c>
      <c r="GA405">
        <v>1063</v>
      </c>
      <c r="GE405" s="26" t="s">
        <v>1358</v>
      </c>
      <c r="HA405" s="5" t="s">
        <v>1</v>
      </c>
      <c r="HB405" s="4" t="s">
        <v>1</v>
      </c>
      <c r="HC405" t="s">
        <v>1</v>
      </c>
      <c r="HD405" t="s">
        <v>1</v>
      </c>
      <c r="HE405" t="s">
        <v>1</v>
      </c>
      <c r="HF405" s="5" t="s">
        <v>1063</v>
      </c>
      <c r="HG405" s="4">
        <v>0.22666666666666668</v>
      </c>
      <c r="HH405">
        <v>0</v>
      </c>
      <c r="HI405">
        <v>30</v>
      </c>
      <c r="HJ405" s="26" t="s">
        <v>1358</v>
      </c>
      <c r="HK405" t="s">
        <v>815</v>
      </c>
      <c r="HL405" s="4">
        <v>1.3666666666666667</v>
      </c>
      <c r="HM405">
        <v>0</v>
      </c>
      <c r="HN405">
        <v>30</v>
      </c>
      <c r="HO405" t="s">
        <v>1</v>
      </c>
      <c r="HP405" s="26" t="s">
        <v>1358</v>
      </c>
      <c r="HZ405" t="s">
        <v>969</v>
      </c>
      <c r="IA405">
        <v>200</v>
      </c>
      <c r="IB405" s="10" t="s">
        <v>1</v>
      </c>
      <c r="IC405" s="10"/>
      <c r="ID405" s="10"/>
      <c r="IE405" s="10" t="s">
        <v>1</v>
      </c>
      <c r="IF405" s="10" t="s">
        <v>1</v>
      </c>
      <c r="IG405" s="10"/>
      <c r="IH405" s="10"/>
      <c r="II405" s="10"/>
      <c r="IJ405" s="10"/>
      <c r="IK405" s="10"/>
      <c r="IL405" s="10"/>
      <c r="IM405" s="10"/>
      <c r="IN405" s="10"/>
      <c r="IO405" s="10"/>
      <c r="IP405" s="10"/>
      <c r="IQ405" s="10"/>
      <c r="IR405" s="10"/>
      <c r="IS405" t="s">
        <v>978</v>
      </c>
      <c r="IT405">
        <v>153</v>
      </c>
      <c r="IW405" t="s">
        <v>1</v>
      </c>
      <c r="IX405" t="s">
        <v>1</v>
      </c>
      <c r="IY405" t="s">
        <v>808</v>
      </c>
      <c r="IZ405">
        <v>5250</v>
      </c>
      <c r="JA405" t="s">
        <v>1</v>
      </c>
      <c r="JB405" s="3" t="s">
        <v>1</v>
      </c>
      <c r="JC405" t="s">
        <v>1</v>
      </c>
      <c r="JD405" s="4" t="s">
        <v>1</v>
      </c>
      <c r="JE405" t="s">
        <v>1</v>
      </c>
      <c r="JF405" t="s">
        <v>1</v>
      </c>
      <c r="JR405" t="s">
        <v>1066</v>
      </c>
      <c r="JS405">
        <v>227.5</v>
      </c>
      <c r="JU405" t="s">
        <v>1</v>
      </c>
      <c r="JW405" t="s">
        <v>1</v>
      </c>
      <c r="JX405">
        <v>0</v>
      </c>
      <c r="JY405">
        <v>40</v>
      </c>
      <c r="JZ405" t="s">
        <v>803</v>
      </c>
      <c r="KA405" t="s">
        <v>459</v>
      </c>
      <c r="KB405" t="s">
        <v>738</v>
      </c>
      <c r="KC405" t="s">
        <v>1</v>
      </c>
      <c r="KD405" t="s">
        <v>1</v>
      </c>
      <c r="KE405" s="1" t="s">
        <v>1</v>
      </c>
      <c r="KF405" t="s">
        <v>1</v>
      </c>
      <c r="KG405" t="s">
        <v>1</v>
      </c>
      <c r="KH405" t="s">
        <v>1</v>
      </c>
      <c r="KI405" t="s">
        <v>1</v>
      </c>
      <c r="KJ405" t="s">
        <v>1</v>
      </c>
      <c r="KK405" t="s">
        <v>1</v>
      </c>
    </row>
    <row r="406" spans="1:297" x14ac:dyDescent="0.2">
      <c r="A406">
        <v>374</v>
      </c>
      <c r="B406" t="s">
        <v>705</v>
      </c>
      <c r="C406" t="s">
        <v>467</v>
      </c>
      <c r="D406" t="s">
        <v>465</v>
      </c>
      <c r="E406">
        <v>67</v>
      </c>
      <c r="F406" t="s">
        <v>466</v>
      </c>
      <c r="G406" t="s">
        <v>1</v>
      </c>
      <c r="H406" s="26" t="s">
        <v>1420</v>
      </c>
      <c r="I406" t="s">
        <v>1</v>
      </c>
      <c r="J406" t="s">
        <v>1</v>
      </c>
      <c r="K406" t="s">
        <v>1</v>
      </c>
      <c r="L406" t="s">
        <v>1</v>
      </c>
      <c r="M406" t="s">
        <v>1</v>
      </c>
      <c r="N406" t="s">
        <v>1</v>
      </c>
      <c r="O406" t="s">
        <v>1</v>
      </c>
      <c r="P406" t="s">
        <v>1</v>
      </c>
      <c r="Q406" t="s">
        <v>1</v>
      </c>
      <c r="R406" t="s">
        <v>1</v>
      </c>
      <c r="S406" t="s">
        <v>1</v>
      </c>
      <c r="T406" t="s">
        <v>1</v>
      </c>
      <c r="U406" t="s">
        <v>1</v>
      </c>
      <c r="V406" t="s">
        <v>1</v>
      </c>
      <c r="W406" t="s">
        <v>1</v>
      </c>
      <c r="X406" t="s">
        <v>1</v>
      </c>
      <c r="Y406" t="s">
        <v>1</v>
      </c>
      <c r="Z406" t="s">
        <v>1</v>
      </c>
      <c r="AA406" t="s">
        <v>1</v>
      </c>
      <c r="AB406" t="s">
        <v>1</v>
      </c>
      <c r="AC406" t="s">
        <v>1</v>
      </c>
      <c r="AD406" t="s">
        <v>1</v>
      </c>
      <c r="AE406" t="s">
        <v>1</v>
      </c>
      <c r="AF406" t="s">
        <v>1</v>
      </c>
      <c r="AG406" t="s">
        <v>1</v>
      </c>
      <c r="AH406" t="s">
        <v>1</v>
      </c>
      <c r="AI406" t="s">
        <v>1</v>
      </c>
      <c r="AJ406" t="s">
        <v>1</v>
      </c>
      <c r="AK406" t="s">
        <v>1</v>
      </c>
      <c r="AL406" t="s">
        <v>1</v>
      </c>
      <c r="AM406" t="s">
        <v>1</v>
      </c>
      <c r="AN406">
        <v>374</v>
      </c>
      <c r="AO406">
        <f t="shared" si="54"/>
        <v>374</v>
      </c>
      <c r="AP406">
        <f t="shared" si="55"/>
        <v>67</v>
      </c>
      <c r="AQ406">
        <f t="shared" si="56"/>
        <v>67</v>
      </c>
      <c r="AR406" s="26" t="s">
        <v>1355</v>
      </c>
      <c r="AS406" s="26" t="s">
        <v>1356</v>
      </c>
      <c r="AT406" t="s">
        <v>713</v>
      </c>
      <c r="AU406" t="s">
        <v>1</v>
      </c>
      <c r="AV406" t="s">
        <v>1</v>
      </c>
      <c r="AW406">
        <v>44.23</v>
      </c>
      <c r="AX406">
        <v>-95.27</v>
      </c>
      <c r="AY406" t="s">
        <v>737</v>
      </c>
      <c r="BA406" s="3">
        <v>3</v>
      </c>
      <c r="BB406" s="3"/>
      <c r="BC406" s="3"/>
      <c r="BD406" s="3"/>
      <c r="BE406" s="3"/>
      <c r="BF406">
        <v>1975</v>
      </c>
      <c r="BG406" s="24" t="s">
        <v>733</v>
      </c>
      <c r="BH406" s="24" t="s">
        <v>733</v>
      </c>
      <c r="BI406" s="24" t="s">
        <v>733</v>
      </c>
      <c r="BJ406" s="24" t="s">
        <v>732</v>
      </c>
      <c r="BK406" s="24" t="s">
        <v>733</v>
      </c>
      <c r="BL406" s="25" t="s">
        <v>733</v>
      </c>
      <c r="BM406" s="24" t="s">
        <v>733</v>
      </c>
      <c r="BN406" s="24" t="s">
        <v>732</v>
      </c>
      <c r="BO406" s="24" t="s">
        <v>733</v>
      </c>
      <c r="BP406" s="24" t="s">
        <v>733</v>
      </c>
      <c r="BQ406" s="24" t="s">
        <v>945</v>
      </c>
      <c r="BR406" s="24" t="s">
        <v>945</v>
      </c>
      <c r="BS406" s="25" t="s">
        <v>934</v>
      </c>
      <c r="BT406" s="24" t="s">
        <v>934</v>
      </c>
      <c r="BU406" s="24" t="s">
        <v>934</v>
      </c>
      <c r="BV406" s="24" t="s">
        <v>934</v>
      </c>
      <c r="BW406" s="24" t="s">
        <v>934</v>
      </c>
      <c r="BX406" s="24" t="s">
        <v>934</v>
      </c>
      <c r="BY406" s="25" t="s">
        <v>945</v>
      </c>
      <c r="BZ406" t="s">
        <v>5</v>
      </c>
      <c r="CB406" t="s">
        <v>1</v>
      </c>
      <c r="CC406" s="4">
        <f>AVERAGE(55,31,18)*100</f>
        <v>3466.6666666666665</v>
      </c>
      <c r="CD406" s="4"/>
      <c r="CE406" s="4"/>
      <c r="CF406" t="s">
        <v>793</v>
      </c>
      <c r="CG406">
        <v>100</v>
      </c>
      <c r="CH406" t="s">
        <v>805</v>
      </c>
      <c r="CI406" s="28">
        <v>1.6</v>
      </c>
      <c r="CJ406" s="10" t="s">
        <v>1442</v>
      </c>
      <c r="CK406" s="9" t="s">
        <v>1</v>
      </c>
      <c r="CL406" s="4" t="s">
        <v>1</v>
      </c>
      <c r="CM406" t="s">
        <v>848</v>
      </c>
      <c r="CN406" s="4">
        <f>105/3</f>
        <v>35</v>
      </c>
      <c r="CO406" s="4" t="s">
        <v>1</v>
      </c>
      <c r="CP406" s="4" t="s">
        <v>1</v>
      </c>
      <c r="CQ406" s="4" t="s">
        <v>1</v>
      </c>
      <c r="CR406" s="4" t="s">
        <v>1</v>
      </c>
      <c r="CS406" s="4" t="s">
        <v>1</v>
      </c>
      <c r="CT406" s="4" t="s">
        <v>1</v>
      </c>
      <c r="CU406" s="4" t="s">
        <v>1</v>
      </c>
      <c r="CV406" t="s">
        <v>850</v>
      </c>
      <c r="CW406">
        <v>100</v>
      </c>
      <c r="CX406">
        <v>0</v>
      </c>
      <c r="CY406">
        <v>30</v>
      </c>
      <c r="CZ406" s="26" t="s">
        <v>1358</v>
      </c>
      <c r="DA406" t="s">
        <v>734</v>
      </c>
      <c r="DB406">
        <v>29</v>
      </c>
      <c r="DC406">
        <v>0</v>
      </c>
      <c r="DD406">
        <v>30</v>
      </c>
      <c r="DE406" s="26" t="s">
        <v>1358</v>
      </c>
      <c r="DF406" t="s">
        <v>735</v>
      </c>
      <c r="DG406">
        <v>38</v>
      </c>
      <c r="DH406">
        <v>0</v>
      </c>
      <c r="DI406">
        <v>30</v>
      </c>
      <c r="DJ406" s="26" t="s">
        <v>1358</v>
      </c>
      <c r="DK406" t="s">
        <v>736</v>
      </c>
      <c r="DL406">
        <v>33</v>
      </c>
      <c r="DM406">
        <v>0</v>
      </c>
      <c r="DN406">
        <v>30</v>
      </c>
      <c r="DO406" s="26" t="s">
        <v>1358</v>
      </c>
      <c r="DP406" t="s">
        <v>6</v>
      </c>
      <c r="DQ406" t="s">
        <v>1</v>
      </c>
      <c r="DR406">
        <v>6</v>
      </c>
      <c r="DS406">
        <v>0</v>
      </c>
      <c r="DT406">
        <v>30</v>
      </c>
      <c r="DU406" s="26" t="s">
        <v>1358</v>
      </c>
      <c r="EA406" t="s">
        <v>1</v>
      </c>
      <c r="EB406" t="s">
        <v>1</v>
      </c>
      <c r="EC406" t="s">
        <v>1</v>
      </c>
      <c r="ED406" t="s">
        <v>1</v>
      </c>
      <c r="EE406" t="s">
        <v>1</v>
      </c>
      <c r="FZ406" t="s">
        <v>806</v>
      </c>
      <c r="GA406">
        <v>521.33333330000005</v>
      </c>
      <c r="GE406" s="26" t="s">
        <v>1358</v>
      </c>
      <c r="HA406" s="5" t="s">
        <v>1</v>
      </c>
      <c r="HB406" s="4" t="s">
        <v>1</v>
      </c>
      <c r="HC406" t="s">
        <v>1</v>
      </c>
      <c r="HD406" t="s">
        <v>1</v>
      </c>
      <c r="HE406" t="s">
        <v>1</v>
      </c>
      <c r="HF406" s="5" t="s">
        <v>1063</v>
      </c>
      <c r="HG406" s="4">
        <v>1.8</v>
      </c>
      <c r="HH406">
        <v>0</v>
      </c>
      <c r="HI406">
        <v>30</v>
      </c>
      <c r="HJ406" s="26" t="s">
        <v>1358</v>
      </c>
      <c r="HK406" t="s">
        <v>1</v>
      </c>
      <c r="HL406" t="s">
        <v>1</v>
      </c>
      <c r="HM406" t="s">
        <v>1</v>
      </c>
      <c r="HN406" t="s">
        <v>1</v>
      </c>
      <c r="HO406" t="s">
        <v>1</v>
      </c>
      <c r="HP406" t="s">
        <v>1</v>
      </c>
      <c r="HZ406" t="s">
        <v>969</v>
      </c>
      <c r="IA406">
        <v>20</v>
      </c>
      <c r="IB406" s="10" t="s">
        <v>1</v>
      </c>
      <c r="IC406" s="10"/>
      <c r="ID406" s="10"/>
      <c r="IE406" s="10" t="s">
        <v>1</v>
      </c>
      <c r="IF406" s="10" t="s">
        <v>1</v>
      </c>
      <c r="IG406" s="10"/>
      <c r="IH406" s="10"/>
      <c r="II406" s="10"/>
      <c r="IJ406" s="10"/>
      <c r="IK406" s="10"/>
      <c r="IL406" s="10"/>
      <c r="IM406" s="10"/>
      <c r="IN406" s="10"/>
      <c r="IO406" s="10"/>
      <c r="IP406" s="10"/>
      <c r="IQ406" s="10"/>
      <c r="IR406" s="10"/>
      <c r="IS406" t="s">
        <v>1</v>
      </c>
      <c r="IT406" t="s">
        <v>1</v>
      </c>
      <c r="IW406" t="s">
        <v>1</v>
      </c>
      <c r="IX406" t="s">
        <v>1</v>
      </c>
      <c r="IY406" t="s">
        <v>1</v>
      </c>
      <c r="IZ406" t="s">
        <v>1</v>
      </c>
      <c r="JA406" t="s">
        <v>1</v>
      </c>
      <c r="JB406" s="3" t="s">
        <v>1</v>
      </c>
      <c r="JC406" t="s">
        <v>1</v>
      </c>
      <c r="JD406" s="4" t="s">
        <v>1</v>
      </c>
      <c r="JE406" t="s">
        <v>1</v>
      </c>
      <c r="JF406" t="s">
        <v>1</v>
      </c>
      <c r="JR406" t="s">
        <v>1066</v>
      </c>
      <c r="JS406">
        <v>60.5</v>
      </c>
      <c r="JU406" t="s">
        <v>1</v>
      </c>
      <c r="JW406" t="s">
        <v>1</v>
      </c>
      <c r="JX406">
        <v>0</v>
      </c>
      <c r="JY406">
        <v>120</v>
      </c>
      <c r="JZ406" t="s">
        <v>797</v>
      </c>
      <c r="KA406" t="s">
        <v>147</v>
      </c>
      <c r="KB406" t="s">
        <v>738</v>
      </c>
      <c r="KC406" t="s">
        <v>1</v>
      </c>
      <c r="KD406" t="s">
        <v>1</v>
      </c>
      <c r="KE406" s="1" t="s">
        <v>1</v>
      </c>
      <c r="KF406" t="s">
        <v>1</v>
      </c>
      <c r="KG406" t="s">
        <v>1</v>
      </c>
      <c r="KH406" t="s">
        <v>1</v>
      </c>
      <c r="KI406" t="s">
        <v>1</v>
      </c>
      <c r="KJ406" t="s">
        <v>1</v>
      </c>
      <c r="KK406" t="s">
        <v>1</v>
      </c>
    </row>
    <row r="407" spans="1:297" x14ac:dyDescent="0.2">
      <c r="A407">
        <v>375</v>
      </c>
      <c r="B407" t="s">
        <v>705</v>
      </c>
      <c r="C407" t="s">
        <v>468</v>
      </c>
      <c r="D407" t="s">
        <v>465</v>
      </c>
      <c r="E407">
        <v>67</v>
      </c>
      <c r="F407" t="s">
        <v>466</v>
      </c>
      <c r="G407" t="s">
        <v>1</v>
      </c>
      <c r="H407" s="26" t="s">
        <v>1420</v>
      </c>
      <c r="I407" t="s">
        <v>1</v>
      </c>
      <c r="J407" t="s">
        <v>1</v>
      </c>
      <c r="K407" t="s">
        <v>1</v>
      </c>
      <c r="L407" t="s">
        <v>1</v>
      </c>
      <c r="M407" t="s">
        <v>1</v>
      </c>
      <c r="N407" t="s">
        <v>1</v>
      </c>
      <c r="O407" t="s">
        <v>1</v>
      </c>
      <c r="P407" t="s">
        <v>1</v>
      </c>
      <c r="Q407" t="s">
        <v>1</v>
      </c>
      <c r="R407" t="s">
        <v>1</v>
      </c>
      <c r="S407" t="s">
        <v>1</v>
      </c>
      <c r="T407" t="s">
        <v>1</v>
      </c>
      <c r="U407" t="s">
        <v>1</v>
      </c>
      <c r="V407" t="s">
        <v>1</v>
      </c>
      <c r="W407" t="s">
        <v>1</v>
      </c>
      <c r="X407" t="s">
        <v>1</v>
      </c>
      <c r="Y407" t="s">
        <v>1</v>
      </c>
      <c r="Z407" t="s">
        <v>1</v>
      </c>
      <c r="AA407" t="s">
        <v>1</v>
      </c>
      <c r="AB407" t="s">
        <v>1</v>
      </c>
      <c r="AC407" t="s">
        <v>1</v>
      </c>
      <c r="AD407" t="s">
        <v>1</v>
      </c>
      <c r="AE407" t="s">
        <v>1</v>
      </c>
      <c r="AF407" t="s">
        <v>1</v>
      </c>
      <c r="AG407" t="s">
        <v>1</v>
      </c>
      <c r="AH407" t="s">
        <v>1</v>
      </c>
      <c r="AI407" t="s">
        <v>1</v>
      </c>
      <c r="AJ407" t="s">
        <v>1</v>
      </c>
      <c r="AK407" t="s">
        <v>1</v>
      </c>
      <c r="AL407" t="s">
        <v>1</v>
      </c>
      <c r="AM407" t="s">
        <v>1</v>
      </c>
      <c r="AN407">
        <v>375</v>
      </c>
      <c r="AO407">
        <f t="shared" si="54"/>
        <v>375</v>
      </c>
      <c r="AP407">
        <f t="shared" si="55"/>
        <v>67</v>
      </c>
      <c r="AQ407">
        <f t="shared" si="56"/>
        <v>67</v>
      </c>
      <c r="AR407" s="26" t="s">
        <v>1355</v>
      </c>
      <c r="AS407" s="26" t="s">
        <v>1356</v>
      </c>
      <c r="AT407" t="s">
        <v>713</v>
      </c>
      <c r="AU407" t="s">
        <v>1</v>
      </c>
      <c r="AV407" t="s">
        <v>1</v>
      </c>
      <c r="AW407">
        <v>44.23</v>
      </c>
      <c r="AX407">
        <v>-95.27</v>
      </c>
      <c r="AY407" t="s">
        <v>737</v>
      </c>
      <c r="BA407" s="3">
        <v>3</v>
      </c>
      <c r="BB407" s="3"/>
      <c r="BC407" s="3"/>
      <c r="BD407" s="3"/>
      <c r="BE407" s="3"/>
      <c r="BF407">
        <v>1975</v>
      </c>
      <c r="BG407" s="24" t="s">
        <v>733</v>
      </c>
      <c r="BH407" s="24" t="s">
        <v>733</v>
      </c>
      <c r="BI407" s="24" t="s">
        <v>733</v>
      </c>
      <c r="BJ407" s="24" t="s">
        <v>732</v>
      </c>
      <c r="BK407" s="24" t="s">
        <v>733</v>
      </c>
      <c r="BL407" s="25" t="s">
        <v>733</v>
      </c>
      <c r="BM407" s="24" t="s">
        <v>733</v>
      </c>
      <c r="BN407" s="24" t="s">
        <v>732</v>
      </c>
      <c r="BO407" s="24" t="s">
        <v>733</v>
      </c>
      <c r="BP407" s="24" t="s">
        <v>733</v>
      </c>
      <c r="BQ407" s="24" t="s">
        <v>945</v>
      </c>
      <c r="BR407" s="24" t="s">
        <v>945</v>
      </c>
      <c r="BS407" s="25" t="s">
        <v>934</v>
      </c>
      <c r="BT407" s="24" t="s">
        <v>934</v>
      </c>
      <c r="BU407" s="24" t="s">
        <v>934</v>
      </c>
      <c r="BV407" s="24" t="s">
        <v>934</v>
      </c>
      <c r="BW407" s="24" t="s">
        <v>934</v>
      </c>
      <c r="BX407" s="24" t="s">
        <v>934</v>
      </c>
      <c r="BY407" s="25" t="s">
        <v>945</v>
      </c>
      <c r="BZ407" t="s">
        <v>5</v>
      </c>
      <c r="CB407" t="s">
        <v>1</v>
      </c>
      <c r="CC407" s="4">
        <f>AVERAGE(58,36,38)*100</f>
        <v>4400</v>
      </c>
      <c r="CD407" s="4"/>
      <c r="CE407" s="4"/>
      <c r="CF407" t="s">
        <v>793</v>
      </c>
      <c r="CG407">
        <v>100</v>
      </c>
      <c r="CH407" t="s">
        <v>805</v>
      </c>
      <c r="CI407" s="28">
        <v>1.6</v>
      </c>
      <c r="CJ407" s="10" t="s">
        <v>1442</v>
      </c>
      <c r="CK407" s="9" t="s">
        <v>1</v>
      </c>
      <c r="CL407" s="4" t="s">
        <v>1</v>
      </c>
      <c r="CM407" t="s">
        <v>848</v>
      </c>
      <c r="CN407" s="4">
        <f>167/3</f>
        <v>55.666666666666664</v>
      </c>
      <c r="CO407" s="4" t="s">
        <v>1</v>
      </c>
      <c r="CP407" s="4" t="s">
        <v>1</v>
      </c>
      <c r="CQ407" s="4" t="s">
        <v>1</v>
      </c>
      <c r="CR407" s="4" t="s">
        <v>1</v>
      </c>
      <c r="CS407" s="4" t="s">
        <v>1</v>
      </c>
      <c r="CT407" s="4" t="s">
        <v>1</v>
      </c>
      <c r="CU407" s="4" t="s">
        <v>1</v>
      </c>
      <c r="CV407" t="s">
        <v>850</v>
      </c>
      <c r="CW407">
        <v>100</v>
      </c>
      <c r="CX407">
        <v>0</v>
      </c>
      <c r="CY407">
        <v>30</v>
      </c>
      <c r="CZ407" s="26" t="s">
        <v>1358</v>
      </c>
      <c r="DA407" t="s">
        <v>734</v>
      </c>
      <c r="DB407">
        <v>29</v>
      </c>
      <c r="DC407">
        <v>0</v>
      </c>
      <c r="DD407">
        <v>30</v>
      </c>
      <c r="DE407" s="26" t="s">
        <v>1358</v>
      </c>
      <c r="DF407" t="s">
        <v>735</v>
      </c>
      <c r="DG407">
        <v>38</v>
      </c>
      <c r="DH407">
        <v>0</v>
      </c>
      <c r="DI407">
        <v>30</v>
      </c>
      <c r="DJ407" s="26" t="s">
        <v>1358</v>
      </c>
      <c r="DK407" t="s">
        <v>736</v>
      </c>
      <c r="DL407">
        <v>33</v>
      </c>
      <c r="DM407">
        <v>0</v>
      </c>
      <c r="DN407">
        <v>30</v>
      </c>
      <c r="DO407" s="26" t="s">
        <v>1358</v>
      </c>
      <c r="DP407" t="s">
        <v>6</v>
      </c>
      <c r="DQ407" t="s">
        <v>1</v>
      </c>
      <c r="DR407">
        <v>6</v>
      </c>
      <c r="DS407">
        <v>0</v>
      </c>
      <c r="DT407">
        <v>30</v>
      </c>
      <c r="DU407" s="26" t="s">
        <v>1358</v>
      </c>
      <c r="EA407" t="s">
        <v>1</v>
      </c>
      <c r="EB407" t="s">
        <v>1</v>
      </c>
      <c r="EC407" t="s">
        <v>1</v>
      </c>
      <c r="ED407" t="s">
        <v>1</v>
      </c>
      <c r="EE407" t="s">
        <v>1</v>
      </c>
      <c r="FZ407" t="s">
        <v>806</v>
      </c>
      <c r="GA407">
        <v>521.33333330000005</v>
      </c>
      <c r="GE407" s="26" t="s">
        <v>1358</v>
      </c>
      <c r="HA407" s="5" t="s">
        <v>1</v>
      </c>
      <c r="HB407" s="4" t="s">
        <v>1</v>
      </c>
      <c r="HC407" t="s">
        <v>1</v>
      </c>
      <c r="HD407" t="s">
        <v>1</v>
      </c>
      <c r="HE407" t="s">
        <v>1</v>
      </c>
      <c r="HF407" s="5" t="s">
        <v>1063</v>
      </c>
      <c r="HG407" s="4">
        <v>1.8</v>
      </c>
      <c r="HH407">
        <v>0</v>
      </c>
      <c r="HI407">
        <v>30</v>
      </c>
      <c r="HJ407" s="26" t="s">
        <v>1358</v>
      </c>
      <c r="HK407" t="s">
        <v>1</v>
      </c>
      <c r="HL407" t="s">
        <v>1</v>
      </c>
      <c r="HM407" t="s">
        <v>1</v>
      </c>
      <c r="HN407" t="s">
        <v>1</v>
      </c>
      <c r="HO407" t="s">
        <v>1</v>
      </c>
      <c r="HP407" t="s">
        <v>1</v>
      </c>
      <c r="HZ407" t="s">
        <v>1295</v>
      </c>
      <c r="IA407">
        <v>112</v>
      </c>
      <c r="IB407" s="10" t="s">
        <v>822</v>
      </c>
      <c r="IC407" s="10"/>
      <c r="ID407" s="10"/>
      <c r="IE407" s="10" t="s">
        <v>1</v>
      </c>
      <c r="IF407" s="10" t="s">
        <v>1</v>
      </c>
      <c r="IG407" s="10"/>
      <c r="IH407" s="10"/>
      <c r="II407" s="10"/>
      <c r="IJ407" s="10"/>
      <c r="IK407" s="10"/>
      <c r="IL407" s="10"/>
      <c r="IM407" s="10"/>
      <c r="IN407" s="10"/>
      <c r="IO407" s="10"/>
      <c r="IP407" s="10"/>
      <c r="IQ407" s="10"/>
      <c r="IR407" s="10"/>
      <c r="IS407" t="s">
        <v>1</v>
      </c>
      <c r="IT407" t="s">
        <v>1</v>
      </c>
      <c r="IW407" t="s">
        <v>1</v>
      </c>
      <c r="IX407" t="s">
        <v>1</v>
      </c>
      <c r="IY407" t="s">
        <v>1</v>
      </c>
      <c r="IZ407" t="s">
        <v>1</v>
      </c>
      <c r="JA407" t="s">
        <v>1</v>
      </c>
      <c r="JB407" s="3" t="s">
        <v>1</v>
      </c>
      <c r="JC407" t="s">
        <v>1</v>
      </c>
      <c r="JD407" s="4" t="s">
        <v>1</v>
      </c>
      <c r="JE407" t="s">
        <v>1</v>
      </c>
      <c r="JF407" t="s">
        <v>1</v>
      </c>
      <c r="JR407" t="s">
        <v>1066</v>
      </c>
      <c r="JS407">
        <v>78.2</v>
      </c>
      <c r="JU407" t="s">
        <v>1</v>
      </c>
      <c r="JW407" t="s">
        <v>1</v>
      </c>
      <c r="JX407">
        <v>0</v>
      </c>
      <c r="JY407">
        <v>120</v>
      </c>
      <c r="JZ407" t="s">
        <v>797</v>
      </c>
      <c r="KA407" t="s">
        <v>147</v>
      </c>
      <c r="KB407" t="s">
        <v>738</v>
      </c>
      <c r="KC407" t="s">
        <v>1</v>
      </c>
      <c r="KD407" t="s">
        <v>1</v>
      </c>
      <c r="KE407" s="1" t="s">
        <v>1</v>
      </c>
      <c r="KF407" t="s">
        <v>1</v>
      </c>
      <c r="KG407" t="s">
        <v>1</v>
      </c>
      <c r="KH407" t="s">
        <v>1</v>
      </c>
      <c r="KI407" t="s">
        <v>1</v>
      </c>
      <c r="KJ407" t="s">
        <v>1</v>
      </c>
      <c r="KK407" t="s">
        <v>1</v>
      </c>
    </row>
    <row r="408" spans="1:297" x14ac:dyDescent="0.2">
      <c r="A408">
        <v>376</v>
      </c>
      <c r="B408" t="s">
        <v>705</v>
      </c>
      <c r="C408" t="s">
        <v>469</v>
      </c>
      <c r="D408" t="s">
        <v>465</v>
      </c>
      <c r="E408">
        <v>67</v>
      </c>
      <c r="F408" t="s">
        <v>466</v>
      </c>
      <c r="G408" t="s">
        <v>1</v>
      </c>
      <c r="H408" s="26" t="s">
        <v>1420</v>
      </c>
      <c r="I408" t="s">
        <v>1</v>
      </c>
      <c r="J408" t="s">
        <v>1</v>
      </c>
      <c r="K408" t="s">
        <v>1</v>
      </c>
      <c r="L408" t="s">
        <v>1</v>
      </c>
      <c r="M408" t="s">
        <v>1</v>
      </c>
      <c r="N408" t="s">
        <v>1</v>
      </c>
      <c r="O408" t="s">
        <v>1</v>
      </c>
      <c r="P408" t="s">
        <v>1</v>
      </c>
      <c r="Q408" t="s">
        <v>1</v>
      </c>
      <c r="R408" t="s">
        <v>1</v>
      </c>
      <c r="S408" t="s">
        <v>1</v>
      </c>
      <c r="T408" t="s">
        <v>1</v>
      </c>
      <c r="U408" t="s">
        <v>1</v>
      </c>
      <c r="V408" t="s">
        <v>1</v>
      </c>
      <c r="W408" t="s">
        <v>1</v>
      </c>
      <c r="X408" t="s">
        <v>1</v>
      </c>
      <c r="Y408" t="s">
        <v>1</v>
      </c>
      <c r="Z408" t="s">
        <v>1</v>
      </c>
      <c r="AA408" t="s">
        <v>1</v>
      </c>
      <c r="AB408" t="s">
        <v>1</v>
      </c>
      <c r="AC408" t="s">
        <v>1</v>
      </c>
      <c r="AD408" t="s">
        <v>1</v>
      </c>
      <c r="AE408" t="s">
        <v>1</v>
      </c>
      <c r="AF408" t="s">
        <v>1</v>
      </c>
      <c r="AG408" t="s">
        <v>1</v>
      </c>
      <c r="AH408" t="s">
        <v>1</v>
      </c>
      <c r="AI408" t="s">
        <v>1</v>
      </c>
      <c r="AJ408" t="s">
        <v>1</v>
      </c>
      <c r="AK408" t="s">
        <v>1</v>
      </c>
      <c r="AL408" t="s">
        <v>1</v>
      </c>
      <c r="AM408" t="s">
        <v>1</v>
      </c>
      <c r="AN408">
        <v>376</v>
      </c>
      <c r="AO408">
        <f t="shared" si="54"/>
        <v>376</v>
      </c>
      <c r="AP408">
        <f t="shared" si="55"/>
        <v>67</v>
      </c>
      <c r="AQ408">
        <f t="shared" si="56"/>
        <v>67</v>
      </c>
      <c r="AR408" s="26" t="s">
        <v>1355</v>
      </c>
      <c r="AS408" s="26" t="s">
        <v>1356</v>
      </c>
      <c r="AT408" t="s">
        <v>713</v>
      </c>
      <c r="AU408" t="s">
        <v>1</v>
      </c>
      <c r="AV408" t="s">
        <v>1</v>
      </c>
      <c r="AW408">
        <v>44.23</v>
      </c>
      <c r="AX408">
        <v>-95.27</v>
      </c>
      <c r="AY408" t="s">
        <v>737</v>
      </c>
      <c r="BA408" s="3">
        <v>3</v>
      </c>
      <c r="BB408" s="3"/>
      <c r="BC408" s="3"/>
      <c r="BD408" s="3"/>
      <c r="BE408" s="3"/>
      <c r="BF408">
        <v>1975</v>
      </c>
      <c r="BG408" s="24" t="s">
        <v>733</v>
      </c>
      <c r="BH408" s="24" t="s">
        <v>733</v>
      </c>
      <c r="BI408" s="24" t="s">
        <v>733</v>
      </c>
      <c r="BJ408" s="24" t="s">
        <v>732</v>
      </c>
      <c r="BK408" s="24" t="s">
        <v>733</v>
      </c>
      <c r="BL408" s="25" t="s">
        <v>733</v>
      </c>
      <c r="BM408" s="24" t="s">
        <v>733</v>
      </c>
      <c r="BN408" s="24" t="s">
        <v>732</v>
      </c>
      <c r="BO408" s="24" t="s">
        <v>733</v>
      </c>
      <c r="BP408" s="24" t="s">
        <v>733</v>
      </c>
      <c r="BQ408" s="24" t="s">
        <v>945</v>
      </c>
      <c r="BR408" s="24" t="s">
        <v>945</v>
      </c>
      <c r="BS408" s="25" t="s">
        <v>934</v>
      </c>
      <c r="BT408" s="24" t="s">
        <v>934</v>
      </c>
      <c r="BU408" s="24" t="s">
        <v>934</v>
      </c>
      <c r="BV408" s="24" t="s">
        <v>934</v>
      </c>
      <c r="BW408" s="24" t="s">
        <v>934</v>
      </c>
      <c r="BX408" s="24" t="s">
        <v>934</v>
      </c>
      <c r="BY408" s="25" t="s">
        <v>945</v>
      </c>
      <c r="BZ408" t="s">
        <v>5</v>
      </c>
      <c r="CB408" t="s">
        <v>1</v>
      </c>
      <c r="CC408" s="4">
        <f>AVERAGE(60,41,25)*100</f>
        <v>4200</v>
      </c>
      <c r="CD408" s="4"/>
      <c r="CE408" s="4"/>
      <c r="CF408" t="s">
        <v>793</v>
      </c>
      <c r="CG408">
        <v>100</v>
      </c>
      <c r="CH408" t="s">
        <v>805</v>
      </c>
      <c r="CI408" s="28">
        <v>1.6</v>
      </c>
      <c r="CJ408" s="10" t="s">
        <v>1442</v>
      </c>
      <c r="CK408" s="9" t="s">
        <v>1</v>
      </c>
      <c r="CL408" s="4" t="s">
        <v>1</v>
      </c>
      <c r="CM408" t="s">
        <v>848</v>
      </c>
      <c r="CN408" s="4">
        <f>166/3</f>
        <v>55.333333333333336</v>
      </c>
      <c r="CO408" s="4" t="s">
        <v>1</v>
      </c>
      <c r="CP408" s="4" t="s">
        <v>1</v>
      </c>
      <c r="CQ408" s="4" t="s">
        <v>1</v>
      </c>
      <c r="CR408" s="4" t="s">
        <v>1</v>
      </c>
      <c r="CS408" s="4" t="s">
        <v>1</v>
      </c>
      <c r="CT408" s="4" t="s">
        <v>1</v>
      </c>
      <c r="CU408" s="4" t="s">
        <v>1</v>
      </c>
      <c r="CV408" t="s">
        <v>850</v>
      </c>
      <c r="CW408">
        <v>100</v>
      </c>
      <c r="CX408">
        <v>0</v>
      </c>
      <c r="CY408">
        <v>30</v>
      </c>
      <c r="CZ408" s="26" t="s">
        <v>1358</v>
      </c>
      <c r="DA408" t="s">
        <v>734</v>
      </c>
      <c r="DB408">
        <v>29</v>
      </c>
      <c r="DC408">
        <v>0</v>
      </c>
      <c r="DD408">
        <v>30</v>
      </c>
      <c r="DE408" s="26" t="s">
        <v>1358</v>
      </c>
      <c r="DF408" t="s">
        <v>735</v>
      </c>
      <c r="DG408">
        <v>38</v>
      </c>
      <c r="DH408">
        <v>0</v>
      </c>
      <c r="DI408">
        <v>30</v>
      </c>
      <c r="DJ408" s="26" t="s">
        <v>1358</v>
      </c>
      <c r="DK408" t="s">
        <v>736</v>
      </c>
      <c r="DL408">
        <v>33</v>
      </c>
      <c r="DM408">
        <v>0</v>
      </c>
      <c r="DN408">
        <v>30</v>
      </c>
      <c r="DO408" s="26" t="s">
        <v>1358</v>
      </c>
      <c r="DP408" t="s">
        <v>6</v>
      </c>
      <c r="DQ408" t="s">
        <v>1</v>
      </c>
      <c r="DR408">
        <v>6</v>
      </c>
      <c r="DS408">
        <v>0</v>
      </c>
      <c r="DT408">
        <v>30</v>
      </c>
      <c r="DU408" s="26" t="s">
        <v>1358</v>
      </c>
      <c r="EA408" t="s">
        <v>1</v>
      </c>
      <c r="EB408" t="s">
        <v>1</v>
      </c>
      <c r="EC408" t="s">
        <v>1</v>
      </c>
      <c r="ED408" t="s">
        <v>1</v>
      </c>
      <c r="EE408" t="s">
        <v>1</v>
      </c>
      <c r="FZ408" t="s">
        <v>806</v>
      </c>
      <c r="GA408">
        <v>521.33333330000005</v>
      </c>
      <c r="GE408" s="26" t="s">
        <v>1358</v>
      </c>
      <c r="HA408" s="5" t="s">
        <v>1</v>
      </c>
      <c r="HB408" s="4" t="s">
        <v>1</v>
      </c>
      <c r="HC408" t="s">
        <v>1</v>
      </c>
      <c r="HD408" t="s">
        <v>1</v>
      </c>
      <c r="HE408" t="s">
        <v>1</v>
      </c>
      <c r="HF408" s="5" t="s">
        <v>1063</v>
      </c>
      <c r="HG408" s="4">
        <v>1.8</v>
      </c>
      <c r="HH408">
        <v>0</v>
      </c>
      <c r="HI408">
        <v>30</v>
      </c>
      <c r="HJ408" s="26" t="s">
        <v>1358</v>
      </c>
      <c r="HK408" t="s">
        <v>1</v>
      </c>
      <c r="HL408" t="s">
        <v>1</v>
      </c>
      <c r="HM408" t="s">
        <v>1</v>
      </c>
      <c r="HN408" t="s">
        <v>1</v>
      </c>
      <c r="HO408" t="s">
        <v>1</v>
      </c>
      <c r="HP408" t="s">
        <v>1</v>
      </c>
      <c r="HZ408" t="s">
        <v>1295</v>
      </c>
      <c r="IA408">
        <v>224</v>
      </c>
      <c r="IB408" s="10" t="s">
        <v>822</v>
      </c>
      <c r="IC408" s="10"/>
      <c r="ID408" s="10"/>
      <c r="IE408" s="10" t="s">
        <v>1</v>
      </c>
      <c r="IF408" s="10" t="s">
        <v>1</v>
      </c>
      <c r="IG408" s="10"/>
      <c r="IH408" s="10"/>
      <c r="II408" s="10"/>
      <c r="IJ408" s="10"/>
      <c r="IK408" s="10"/>
      <c r="IL408" s="10"/>
      <c r="IM408" s="10"/>
      <c r="IN408" s="10"/>
      <c r="IO408" s="10"/>
      <c r="IP408" s="10"/>
      <c r="IQ408" s="10"/>
      <c r="IR408" s="10"/>
      <c r="IS408" t="s">
        <v>1</v>
      </c>
      <c r="IT408" t="s">
        <v>1</v>
      </c>
      <c r="IW408" t="s">
        <v>1</v>
      </c>
      <c r="IX408" t="s">
        <v>1</v>
      </c>
      <c r="IY408" t="s">
        <v>1</v>
      </c>
      <c r="IZ408" t="s">
        <v>1</v>
      </c>
      <c r="JA408" t="s">
        <v>1</v>
      </c>
      <c r="JB408" s="3" t="s">
        <v>1</v>
      </c>
      <c r="JC408" t="s">
        <v>1</v>
      </c>
      <c r="JD408" s="4" t="s">
        <v>1</v>
      </c>
      <c r="JE408" t="s">
        <v>1</v>
      </c>
      <c r="JF408" t="s">
        <v>1</v>
      </c>
      <c r="JR408" t="s">
        <v>1066</v>
      </c>
      <c r="JS408">
        <v>137.19999999999999</v>
      </c>
      <c r="JU408" t="s">
        <v>1</v>
      </c>
      <c r="JW408" t="s">
        <v>1</v>
      </c>
      <c r="JX408">
        <v>0</v>
      </c>
      <c r="JY408">
        <v>120</v>
      </c>
      <c r="JZ408" t="s">
        <v>797</v>
      </c>
      <c r="KA408" t="s">
        <v>147</v>
      </c>
      <c r="KB408" t="s">
        <v>738</v>
      </c>
      <c r="KC408" t="s">
        <v>1</v>
      </c>
      <c r="KD408" t="s">
        <v>1</v>
      </c>
      <c r="KE408" s="1" t="s">
        <v>1</v>
      </c>
      <c r="KF408" t="s">
        <v>1</v>
      </c>
      <c r="KG408" t="s">
        <v>1</v>
      </c>
      <c r="KH408" t="s">
        <v>1</v>
      </c>
      <c r="KI408" t="s">
        <v>1</v>
      </c>
      <c r="KJ408" t="s">
        <v>1</v>
      </c>
      <c r="KK408" t="s">
        <v>1</v>
      </c>
    </row>
    <row r="409" spans="1:297" x14ac:dyDescent="0.2">
      <c r="A409">
        <v>377</v>
      </c>
      <c r="B409" t="s">
        <v>705</v>
      </c>
      <c r="C409" t="s">
        <v>470</v>
      </c>
      <c r="D409" t="s">
        <v>465</v>
      </c>
      <c r="E409">
        <v>67</v>
      </c>
      <c r="F409" t="s">
        <v>466</v>
      </c>
      <c r="G409" t="s">
        <v>1</v>
      </c>
      <c r="H409" s="26" t="s">
        <v>1420</v>
      </c>
      <c r="I409" t="s">
        <v>1</v>
      </c>
      <c r="J409" t="s">
        <v>1</v>
      </c>
      <c r="K409" t="s">
        <v>1</v>
      </c>
      <c r="L409" t="s">
        <v>1</v>
      </c>
      <c r="M409" t="s">
        <v>1</v>
      </c>
      <c r="N409" t="s">
        <v>1</v>
      </c>
      <c r="O409" t="s">
        <v>1</v>
      </c>
      <c r="P409" t="s">
        <v>1</v>
      </c>
      <c r="Q409" t="s">
        <v>1</v>
      </c>
      <c r="R409" t="s">
        <v>1</v>
      </c>
      <c r="S409" t="s">
        <v>1</v>
      </c>
      <c r="T409" t="s">
        <v>1</v>
      </c>
      <c r="U409" t="s">
        <v>1</v>
      </c>
      <c r="V409" t="s">
        <v>1</v>
      </c>
      <c r="W409" t="s">
        <v>1</v>
      </c>
      <c r="X409" t="s">
        <v>1</v>
      </c>
      <c r="Y409" t="s">
        <v>1</v>
      </c>
      <c r="Z409" t="s">
        <v>1</v>
      </c>
      <c r="AA409" t="s">
        <v>1</v>
      </c>
      <c r="AB409" t="s">
        <v>1</v>
      </c>
      <c r="AC409" t="s">
        <v>1</v>
      </c>
      <c r="AD409" t="s">
        <v>1</v>
      </c>
      <c r="AE409" t="s">
        <v>1</v>
      </c>
      <c r="AF409" t="s">
        <v>1</v>
      </c>
      <c r="AG409" t="s">
        <v>1</v>
      </c>
      <c r="AH409" t="s">
        <v>1</v>
      </c>
      <c r="AI409" t="s">
        <v>1</v>
      </c>
      <c r="AJ409" t="s">
        <v>1</v>
      </c>
      <c r="AK409" t="s">
        <v>1</v>
      </c>
      <c r="AL409" t="s">
        <v>1</v>
      </c>
      <c r="AM409" t="s">
        <v>1</v>
      </c>
      <c r="AN409">
        <v>377</v>
      </c>
      <c r="AO409">
        <f t="shared" si="54"/>
        <v>377</v>
      </c>
      <c r="AP409">
        <f t="shared" si="55"/>
        <v>67</v>
      </c>
      <c r="AQ409">
        <f t="shared" si="56"/>
        <v>67</v>
      </c>
      <c r="AR409" s="26" t="s">
        <v>1355</v>
      </c>
      <c r="AS409" s="26" t="s">
        <v>1356</v>
      </c>
      <c r="AT409" t="s">
        <v>713</v>
      </c>
      <c r="AU409" t="s">
        <v>1</v>
      </c>
      <c r="AV409" t="s">
        <v>1</v>
      </c>
      <c r="AW409">
        <v>44.23</v>
      </c>
      <c r="AX409">
        <v>-95.27</v>
      </c>
      <c r="AY409" t="s">
        <v>737</v>
      </c>
      <c r="BA409" s="3">
        <v>3</v>
      </c>
      <c r="BB409" s="3"/>
      <c r="BC409" s="3"/>
      <c r="BD409" s="3"/>
      <c r="BE409" s="3"/>
      <c r="BF409">
        <v>1975</v>
      </c>
      <c r="BG409" s="24" t="s">
        <v>733</v>
      </c>
      <c r="BH409" s="24" t="s">
        <v>733</v>
      </c>
      <c r="BI409" s="24" t="s">
        <v>733</v>
      </c>
      <c r="BJ409" s="24" t="s">
        <v>732</v>
      </c>
      <c r="BK409" s="24" t="s">
        <v>733</v>
      </c>
      <c r="BL409" s="25" t="s">
        <v>733</v>
      </c>
      <c r="BM409" s="24" t="s">
        <v>733</v>
      </c>
      <c r="BN409" s="24" t="s">
        <v>732</v>
      </c>
      <c r="BO409" s="24" t="s">
        <v>733</v>
      </c>
      <c r="BP409" s="24" t="s">
        <v>733</v>
      </c>
      <c r="BQ409" s="24" t="s">
        <v>945</v>
      </c>
      <c r="BR409" s="24" t="s">
        <v>945</v>
      </c>
      <c r="BS409" s="25" t="s">
        <v>934</v>
      </c>
      <c r="BT409" s="24" t="s">
        <v>934</v>
      </c>
      <c r="BU409" s="24" t="s">
        <v>934</v>
      </c>
      <c r="BV409" s="24" t="s">
        <v>934</v>
      </c>
      <c r="BW409" s="24" t="s">
        <v>934</v>
      </c>
      <c r="BX409" s="24" t="s">
        <v>934</v>
      </c>
      <c r="BY409" s="25" t="s">
        <v>945</v>
      </c>
      <c r="BZ409" t="s">
        <v>5</v>
      </c>
      <c r="CB409" t="s">
        <v>1</v>
      </c>
      <c r="CC409" s="4">
        <f>AVERAGE(65,45,35)*100</f>
        <v>4833.3333333333339</v>
      </c>
      <c r="CD409" s="4"/>
      <c r="CE409" s="4"/>
      <c r="CF409" t="s">
        <v>793</v>
      </c>
      <c r="CG409">
        <v>100</v>
      </c>
      <c r="CH409" t="s">
        <v>805</v>
      </c>
      <c r="CI409" s="28">
        <v>1.6</v>
      </c>
      <c r="CJ409" s="10" t="s">
        <v>1442</v>
      </c>
      <c r="CK409" s="9" t="s">
        <v>1</v>
      </c>
      <c r="CL409" s="4" t="s">
        <v>1</v>
      </c>
      <c r="CM409" t="s">
        <v>848</v>
      </c>
      <c r="CN409" s="4">
        <f>196/3</f>
        <v>65.333333333333329</v>
      </c>
      <c r="CO409" s="4" t="s">
        <v>1</v>
      </c>
      <c r="CP409" s="4" t="s">
        <v>1</v>
      </c>
      <c r="CQ409" s="4" t="s">
        <v>1</v>
      </c>
      <c r="CR409" s="4" t="s">
        <v>1</v>
      </c>
      <c r="CS409" s="4" t="s">
        <v>1</v>
      </c>
      <c r="CT409" s="4" t="s">
        <v>1</v>
      </c>
      <c r="CU409" s="4" t="s">
        <v>1</v>
      </c>
      <c r="CV409" t="s">
        <v>850</v>
      </c>
      <c r="CW409">
        <v>100</v>
      </c>
      <c r="CX409">
        <v>0</v>
      </c>
      <c r="CY409">
        <v>30</v>
      </c>
      <c r="CZ409" s="26" t="s">
        <v>1358</v>
      </c>
      <c r="DA409" t="s">
        <v>734</v>
      </c>
      <c r="DB409">
        <v>29</v>
      </c>
      <c r="DC409">
        <v>0</v>
      </c>
      <c r="DD409">
        <v>30</v>
      </c>
      <c r="DE409" s="26" t="s">
        <v>1358</v>
      </c>
      <c r="DF409" t="s">
        <v>735</v>
      </c>
      <c r="DG409">
        <v>38</v>
      </c>
      <c r="DH409">
        <v>0</v>
      </c>
      <c r="DI409">
        <v>30</v>
      </c>
      <c r="DJ409" s="26" t="s">
        <v>1358</v>
      </c>
      <c r="DK409" t="s">
        <v>736</v>
      </c>
      <c r="DL409">
        <v>33</v>
      </c>
      <c r="DM409">
        <v>0</v>
      </c>
      <c r="DN409">
        <v>30</v>
      </c>
      <c r="DO409" s="26" t="s">
        <v>1358</v>
      </c>
      <c r="DP409" t="s">
        <v>6</v>
      </c>
      <c r="DQ409" t="s">
        <v>1</v>
      </c>
      <c r="DR409">
        <v>6</v>
      </c>
      <c r="DS409">
        <v>0</v>
      </c>
      <c r="DT409">
        <v>30</v>
      </c>
      <c r="DU409" s="26" t="s">
        <v>1358</v>
      </c>
      <c r="EA409" t="s">
        <v>1</v>
      </c>
      <c r="EB409" t="s">
        <v>1</v>
      </c>
      <c r="EC409" t="s">
        <v>1</v>
      </c>
      <c r="ED409" t="s">
        <v>1</v>
      </c>
      <c r="EE409" t="s">
        <v>1</v>
      </c>
      <c r="FZ409" t="s">
        <v>806</v>
      </c>
      <c r="GA409">
        <v>521.33333330000005</v>
      </c>
      <c r="GE409" s="26" t="s">
        <v>1358</v>
      </c>
      <c r="HA409" s="5" t="s">
        <v>1</v>
      </c>
      <c r="HB409" s="4" t="s">
        <v>1</v>
      </c>
      <c r="HC409" t="s">
        <v>1</v>
      </c>
      <c r="HD409" t="s">
        <v>1</v>
      </c>
      <c r="HE409" t="s">
        <v>1</v>
      </c>
      <c r="HF409" s="5" t="s">
        <v>1063</v>
      </c>
      <c r="HG409" s="4">
        <v>1.8</v>
      </c>
      <c r="HH409">
        <v>0</v>
      </c>
      <c r="HI409">
        <v>30</v>
      </c>
      <c r="HJ409" s="26" t="s">
        <v>1358</v>
      </c>
      <c r="HK409" t="s">
        <v>1</v>
      </c>
      <c r="HL409" t="s">
        <v>1</v>
      </c>
      <c r="HM409" t="s">
        <v>1</v>
      </c>
      <c r="HN409" t="s">
        <v>1</v>
      </c>
      <c r="HO409" t="s">
        <v>1</v>
      </c>
      <c r="HP409" t="s">
        <v>1</v>
      </c>
      <c r="HZ409" t="s">
        <v>1295</v>
      </c>
      <c r="IA409">
        <v>448</v>
      </c>
      <c r="IB409" s="10" t="s">
        <v>822</v>
      </c>
      <c r="IC409" s="10"/>
      <c r="ID409" s="10"/>
      <c r="IE409" s="10" t="s">
        <v>1</v>
      </c>
      <c r="IF409" s="10" t="s">
        <v>1</v>
      </c>
      <c r="IG409" s="10"/>
      <c r="IH409" s="10"/>
      <c r="II409" s="10"/>
      <c r="IJ409" s="10"/>
      <c r="IK409" s="10"/>
      <c r="IL409" s="10"/>
      <c r="IM409" s="10"/>
      <c r="IN409" s="10"/>
      <c r="IO409" s="10"/>
      <c r="IP409" s="10"/>
      <c r="IQ409" s="10"/>
      <c r="IR409" s="10"/>
      <c r="IS409" t="s">
        <v>1</v>
      </c>
      <c r="IT409" t="s">
        <v>1</v>
      </c>
      <c r="IW409" t="s">
        <v>1</v>
      </c>
      <c r="IX409" t="s">
        <v>1</v>
      </c>
      <c r="IY409" t="s">
        <v>1</v>
      </c>
      <c r="IZ409" t="s">
        <v>1</v>
      </c>
      <c r="JA409" t="s">
        <v>1</v>
      </c>
      <c r="JB409" s="3" t="s">
        <v>1</v>
      </c>
      <c r="JC409" t="s">
        <v>1</v>
      </c>
      <c r="JD409" s="4" t="s">
        <v>1</v>
      </c>
      <c r="JE409" t="s">
        <v>1</v>
      </c>
      <c r="JF409" t="s">
        <v>1</v>
      </c>
      <c r="JR409" t="s">
        <v>1066</v>
      </c>
      <c r="JS409">
        <v>265.60000000000002</v>
      </c>
      <c r="JU409" t="s">
        <v>1</v>
      </c>
      <c r="JW409" t="s">
        <v>1</v>
      </c>
      <c r="JX409">
        <v>0</v>
      </c>
      <c r="JY409">
        <v>120</v>
      </c>
      <c r="JZ409" t="s">
        <v>797</v>
      </c>
      <c r="KA409" t="s">
        <v>147</v>
      </c>
      <c r="KB409" t="s">
        <v>738</v>
      </c>
      <c r="KC409" t="s">
        <v>1</v>
      </c>
      <c r="KD409" t="s">
        <v>1</v>
      </c>
      <c r="KE409" s="1" t="s">
        <v>1</v>
      </c>
      <c r="KF409" t="s">
        <v>1</v>
      </c>
      <c r="KG409" t="s">
        <v>1</v>
      </c>
      <c r="KH409" t="s">
        <v>1</v>
      </c>
      <c r="KI409" t="s">
        <v>1</v>
      </c>
      <c r="KJ409" t="s">
        <v>1</v>
      </c>
      <c r="KK409" t="s">
        <v>1</v>
      </c>
    </row>
    <row r="410" spans="1:297" x14ac:dyDescent="0.2">
      <c r="A410">
        <v>378</v>
      </c>
      <c r="B410" t="s">
        <v>705</v>
      </c>
      <c r="C410" t="s">
        <v>473</v>
      </c>
      <c r="D410" t="s">
        <v>471</v>
      </c>
      <c r="E410">
        <v>68</v>
      </c>
      <c r="F410" t="s">
        <v>472</v>
      </c>
      <c r="G410" t="s">
        <v>1</v>
      </c>
      <c r="H410" s="26" t="s">
        <v>1420</v>
      </c>
      <c r="I410" t="s">
        <v>1</v>
      </c>
      <c r="J410" t="s">
        <v>1</v>
      </c>
      <c r="K410" t="s">
        <v>1</v>
      </c>
      <c r="L410" t="s">
        <v>1</v>
      </c>
      <c r="M410" t="s">
        <v>1</v>
      </c>
      <c r="N410" t="s">
        <v>1</v>
      </c>
      <c r="O410" t="s">
        <v>1</v>
      </c>
      <c r="P410" t="s">
        <v>1</v>
      </c>
      <c r="Q410" t="s">
        <v>1</v>
      </c>
      <c r="R410" t="s">
        <v>1</v>
      </c>
      <c r="S410" t="s">
        <v>1</v>
      </c>
      <c r="T410" t="s">
        <v>1</v>
      </c>
      <c r="U410" t="s">
        <v>1</v>
      </c>
      <c r="V410" t="s">
        <v>1</v>
      </c>
      <c r="W410" t="s">
        <v>1</v>
      </c>
      <c r="X410" t="s">
        <v>1</v>
      </c>
      <c r="Y410" t="s">
        <v>1</v>
      </c>
      <c r="Z410" t="s">
        <v>1</v>
      </c>
      <c r="AA410" t="s">
        <v>1</v>
      </c>
      <c r="AB410" t="s">
        <v>1</v>
      </c>
      <c r="AC410" t="s">
        <v>1</v>
      </c>
      <c r="AD410" t="s">
        <v>1</v>
      </c>
      <c r="AE410" t="s">
        <v>1</v>
      </c>
      <c r="AF410" t="s">
        <v>1</v>
      </c>
      <c r="AG410" t="s">
        <v>1</v>
      </c>
      <c r="AH410" t="s">
        <v>1</v>
      </c>
      <c r="AI410" t="s">
        <v>1</v>
      </c>
      <c r="AJ410" t="s">
        <v>1</v>
      </c>
      <c r="AK410" t="s">
        <v>1</v>
      </c>
      <c r="AL410" t="s">
        <v>1</v>
      </c>
      <c r="AM410" t="s">
        <v>1</v>
      </c>
      <c r="AN410">
        <v>378</v>
      </c>
      <c r="AO410">
        <f t="shared" si="54"/>
        <v>378</v>
      </c>
      <c r="AP410">
        <f t="shared" si="55"/>
        <v>68</v>
      </c>
      <c r="AQ410" s="26">
        <v>46</v>
      </c>
      <c r="AR410" s="26" t="s">
        <v>1355</v>
      </c>
      <c r="AS410" s="26" t="s">
        <v>1356</v>
      </c>
      <c r="AT410" t="s">
        <v>713</v>
      </c>
      <c r="AU410" t="s">
        <v>1</v>
      </c>
      <c r="AV410" t="s">
        <v>1</v>
      </c>
      <c r="AW410">
        <v>42.75</v>
      </c>
      <c r="AX410">
        <v>-94.5</v>
      </c>
      <c r="AY410" t="s">
        <v>737</v>
      </c>
      <c r="BA410" s="3">
        <v>3</v>
      </c>
      <c r="BB410" s="3"/>
      <c r="BC410" s="3"/>
      <c r="BD410" s="3"/>
      <c r="BE410" s="3"/>
      <c r="BF410">
        <v>1993</v>
      </c>
      <c r="BG410" s="24" t="s">
        <v>733</v>
      </c>
      <c r="BH410" s="24" t="s">
        <v>733</v>
      </c>
      <c r="BI410" s="24" t="s">
        <v>733</v>
      </c>
      <c r="BJ410" s="24" t="s">
        <v>732</v>
      </c>
      <c r="BK410" s="24" t="s">
        <v>733</v>
      </c>
      <c r="BL410" s="25" t="s">
        <v>733</v>
      </c>
      <c r="BM410" s="24" t="s">
        <v>733</v>
      </c>
      <c r="BN410" s="24" t="s">
        <v>732</v>
      </c>
      <c r="BO410" s="24" t="s">
        <v>733</v>
      </c>
      <c r="BP410" s="24" t="s">
        <v>733</v>
      </c>
      <c r="BQ410" s="24" t="s">
        <v>945</v>
      </c>
      <c r="BR410" s="24" t="s">
        <v>945</v>
      </c>
      <c r="BS410" s="25" t="s">
        <v>934</v>
      </c>
      <c r="BT410" s="24" t="s">
        <v>934</v>
      </c>
      <c r="BU410" s="24" t="s">
        <v>934</v>
      </c>
      <c r="BV410" s="24" t="s">
        <v>934</v>
      </c>
      <c r="BW410" s="24" t="s">
        <v>934</v>
      </c>
      <c r="BX410" s="24" t="s">
        <v>934</v>
      </c>
      <c r="BY410" s="25" t="s">
        <v>945</v>
      </c>
      <c r="BZ410" t="s">
        <v>5</v>
      </c>
      <c r="CB410" t="s">
        <v>1</v>
      </c>
      <c r="CC410" s="4">
        <v>3496</v>
      </c>
      <c r="CD410" s="4"/>
      <c r="CE410" s="4"/>
      <c r="CF410" t="s">
        <v>793</v>
      </c>
      <c r="CG410">
        <v>100</v>
      </c>
      <c r="CH410" t="s">
        <v>805</v>
      </c>
      <c r="CI410" s="28">
        <v>1.6</v>
      </c>
      <c r="CJ410" s="10" t="s">
        <v>1442</v>
      </c>
      <c r="CK410" s="9" t="s">
        <v>1</v>
      </c>
      <c r="CL410" s="4" t="s">
        <v>1</v>
      </c>
      <c r="CM410" s="4" t="s">
        <v>1</v>
      </c>
      <c r="CN410" s="4" t="s">
        <v>1</v>
      </c>
      <c r="CO410" s="4" t="s">
        <v>1</v>
      </c>
      <c r="CP410" s="4" t="s">
        <v>1</v>
      </c>
      <c r="CQ410" s="4" t="s">
        <v>1</v>
      </c>
      <c r="CR410" s="4" t="s">
        <v>1</v>
      </c>
      <c r="CS410" s="4" t="s">
        <v>1</v>
      </c>
      <c r="CT410" s="4" t="s">
        <v>1</v>
      </c>
      <c r="CU410" s="4" t="s">
        <v>1</v>
      </c>
      <c r="CV410" s="38" t="s">
        <v>851</v>
      </c>
      <c r="CW410">
        <v>100</v>
      </c>
      <c r="CX410">
        <v>0</v>
      </c>
      <c r="CY410">
        <v>30</v>
      </c>
      <c r="CZ410" s="26" t="s">
        <v>1358</v>
      </c>
      <c r="DA410" t="s">
        <v>734</v>
      </c>
      <c r="DB410">
        <v>32.299999999999997</v>
      </c>
      <c r="DC410">
        <v>0</v>
      </c>
      <c r="DD410">
        <v>30</v>
      </c>
      <c r="DE410" s="26" t="s">
        <v>1358</v>
      </c>
      <c r="DF410" t="s">
        <v>735</v>
      </c>
      <c r="DG410">
        <v>41.7</v>
      </c>
      <c r="DH410">
        <v>0</v>
      </c>
      <c r="DI410">
        <v>30</v>
      </c>
      <c r="DJ410" s="26" t="s">
        <v>1358</v>
      </c>
      <c r="DK410" t="s">
        <v>736</v>
      </c>
      <c r="DL410">
        <v>26</v>
      </c>
      <c r="DM410">
        <v>0</v>
      </c>
      <c r="DN410">
        <v>30</v>
      </c>
      <c r="DO410" s="26" t="s">
        <v>1358</v>
      </c>
      <c r="DP410" t="s">
        <v>1</v>
      </c>
      <c r="DQ410" t="s">
        <v>1</v>
      </c>
      <c r="DR410" t="s">
        <v>1</v>
      </c>
      <c r="DS410" t="s">
        <v>1</v>
      </c>
      <c r="DT410" t="s">
        <v>1</v>
      </c>
      <c r="DU410" t="s">
        <v>1</v>
      </c>
      <c r="EA410" t="s">
        <v>982</v>
      </c>
      <c r="EB410">
        <v>22</v>
      </c>
      <c r="EC410">
        <v>0</v>
      </c>
      <c r="ED410">
        <v>30</v>
      </c>
      <c r="EE410" s="26" t="s">
        <v>1358</v>
      </c>
      <c r="EF410" s="26"/>
      <c r="FZ410" t="s">
        <v>806</v>
      </c>
      <c r="GA410">
        <v>805</v>
      </c>
      <c r="GE410" s="26" t="s">
        <v>1358</v>
      </c>
      <c r="HA410" s="5" t="s">
        <v>1</v>
      </c>
      <c r="HB410" s="4" t="s">
        <v>1</v>
      </c>
      <c r="HC410" t="s">
        <v>1</v>
      </c>
      <c r="HD410" t="s">
        <v>1</v>
      </c>
      <c r="HE410" t="s">
        <v>1</v>
      </c>
      <c r="HF410" s="5" t="s">
        <v>1</v>
      </c>
      <c r="HG410" s="4" t="s">
        <v>1</v>
      </c>
      <c r="HH410" t="s">
        <v>1</v>
      </c>
      <c r="HI410" t="s">
        <v>1</v>
      </c>
      <c r="HJ410" t="s">
        <v>1</v>
      </c>
      <c r="HK410" t="s">
        <v>815</v>
      </c>
      <c r="HL410" s="34">
        <v>1.38</v>
      </c>
      <c r="HM410">
        <v>0</v>
      </c>
      <c r="HN410">
        <v>30</v>
      </c>
      <c r="HO410" t="s">
        <v>1452</v>
      </c>
      <c r="HP410" s="26" t="s">
        <v>1358</v>
      </c>
      <c r="HZ410" t="s">
        <v>1</v>
      </c>
      <c r="IA410" t="s">
        <v>1</v>
      </c>
      <c r="IB410" s="10" t="s">
        <v>1</v>
      </c>
      <c r="IC410" s="10"/>
      <c r="ID410" s="10"/>
      <c r="IE410" s="10" t="s">
        <v>1</v>
      </c>
      <c r="IF410" s="10" t="s">
        <v>1</v>
      </c>
      <c r="IG410" s="10"/>
      <c r="IH410" s="10"/>
      <c r="II410" s="10"/>
      <c r="IJ410" s="10"/>
      <c r="IK410" s="10"/>
      <c r="IL410" s="10"/>
      <c r="IM410" s="10"/>
      <c r="IN410" s="10"/>
      <c r="IO410" s="10"/>
      <c r="IP410" s="10"/>
      <c r="IQ410" s="10"/>
      <c r="IR410" s="10"/>
      <c r="IS410" t="s">
        <v>1</v>
      </c>
      <c r="IT410" t="s">
        <v>1</v>
      </c>
      <c r="IW410" t="s">
        <v>1</v>
      </c>
      <c r="IX410" t="s">
        <v>1</v>
      </c>
      <c r="IY410" t="s">
        <v>1</v>
      </c>
      <c r="IZ410" t="s">
        <v>1</v>
      </c>
      <c r="JA410" t="s">
        <v>1</v>
      </c>
      <c r="JB410" s="3" t="s">
        <v>1</v>
      </c>
      <c r="JC410" t="s">
        <v>1</v>
      </c>
      <c r="JD410" s="4" t="s">
        <v>1</v>
      </c>
      <c r="JE410" t="s">
        <v>810</v>
      </c>
      <c r="JF410">
        <v>100</v>
      </c>
      <c r="JR410" t="s">
        <v>1066</v>
      </c>
      <c r="JS410">
        <v>97.4</v>
      </c>
      <c r="JU410" t="s">
        <v>1</v>
      </c>
      <c r="JW410" t="s">
        <v>1</v>
      </c>
      <c r="JX410">
        <v>0</v>
      </c>
      <c r="JY410">
        <v>106</v>
      </c>
      <c r="JZ410" t="s">
        <v>801</v>
      </c>
      <c r="KA410" t="s">
        <v>320</v>
      </c>
      <c r="KB410" t="s">
        <v>738</v>
      </c>
      <c r="KC410" t="s">
        <v>1</v>
      </c>
      <c r="KD410" t="s">
        <v>1</v>
      </c>
      <c r="KE410" s="1" t="s">
        <v>1</v>
      </c>
      <c r="KF410" t="s">
        <v>1</v>
      </c>
      <c r="KG410" t="s">
        <v>1</v>
      </c>
      <c r="KH410" t="s">
        <v>1</v>
      </c>
      <c r="KI410" t="s">
        <v>1</v>
      </c>
      <c r="KJ410" t="s">
        <v>1</v>
      </c>
      <c r="KK410" t="s">
        <v>1</v>
      </c>
    </row>
    <row r="411" spans="1:297" x14ac:dyDescent="0.2">
      <c r="A411">
        <v>379</v>
      </c>
      <c r="B411" t="s">
        <v>705</v>
      </c>
      <c r="C411" t="s">
        <v>474</v>
      </c>
      <c r="D411" t="s">
        <v>471</v>
      </c>
      <c r="E411">
        <v>68</v>
      </c>
      <c r="F411" t="s">
        <v>472</v>
      </c>
      <c r="G411" t="s">
        <v>1</v>
      </c>
      <c r="H411" s="26" t="s">
        <v>1420</v>
      </c>
      <c r="I411" t="s">
        <v>1</v>
      </c>
      <c r="J411" t="s">
        <v>1</v>
      </c>
      <c r="K411" t="s">
        <v>1</v>
      </c>
      <c r="L411" t="s">
        <v>1</v>
      </c>
      <c r="M411" t="s">
        <v>1</v>
      </c>
      <c r="N411" t="s">
        <v>1</v>
      </c>
      <c r="O411" t="s">
        <v>1</v>
      </c>
      <c r="P411" t="s">
        <v>1</v>
      </c>
      <c r="Q411" t="s">
        <v>1</v>
      </c>
      <c r="R411" t="s">
        <v>1</v>
      </c>
      <c r="S411" t="s">
        <v>1</v>
      </c>
      <c r="T411" t="s">
        <v>1</v>
      </c>
      <c r="U411" t="s">
        <v>1</v>
      </c>
      <c r="V411" t="s">
        <v>1</v>
      </c>
      <c r="W411" t="s">
        <v>1</v>
      </c>
      <c r="X411" t="s">
        <v>1</v>
      </c>
      <c r="Y411" t="s">
        <v>1</v>
      </c>
      <c r="Z411" t="s">
        <v>1</v>
      </c>
      <c r="AA411" t="s">
        <v>1</v>
      </c>
      <c r="AB411" t="s">
        <v>1</v>
      </c>
      <c r="AC411" t="s">
        <v>1</v>
      </c>
      <c r="AD411" t="s">
        <v>1</v>
      </c>
      <c r="AE411" t="s">
        <v>1</v>
      </c>
      <c r="AF411" t="s">
        <v>1</v>
      </c>
      <c r="AG411" t="s">
        <v>1</v>
      </c>
      <c r="AH411" t="s">
        <v>1</v>
      </c>
      <c r="AI411" t="s">
        <v>1</v>
      </c>
      <c r="AJ411" t="s">
        <v>1</v>
      </c>
      <c r="AK411" t="s">
        <v>1</v>
      </c>
      <c r="AL411" t="s">
        <v>1</v>
      </c>
      <c r="AM411" t="s">
        <v>1</v>
      </c>
      <c r="AN411">
        <v>379</v>
      </c>
      <c r="AO411">
        <f t="shared" si="54"/>
        <v>379</v>
      </c>
      <c r="AP411">
        <f t="shared" si="55"/>
        <v>68</v>
      </c>
      <c r="AQ411" s="26">
        <v>46</v>
      </c>
      <c r="AR411" s="26" t="s">
        <v>1355</v>
      </c>
      <c r="AS411" s="26" t="s">
        <v>1356</v>
      </c>
      <c r="AT411" t="s">
        <v>713</v>
      </c>
      <c r="AU411" t="s">
        <v>1</v>
      </c>
      <c r="AV411" t="s">
        <v>1</v>
      </c>
      <c r="AW411">
        <v>42.75</v>
      </c>
      <c r="AX411">
        <v>-94.5</v>
      </c>
      <c r="AY411" t="s">
        <v>737</v>
      </c>
      <c r="BA411" s="3">
        <v>3</v>
      </c>
      <c r="BB411" s="3"/>
      <c r="BC411" s="3"/>
      <c r="BD411" s="3"/>
      <c r="BE411" s="3"/>
      <c r="BF411">
        <v>1993</v>
      </c>
      <c r="BG411" s="24" t="s">
        <v>733</v>
      </c>
      <c r="BH411" s="24" t="s">
        <v>733</v>
      </c>
      <c r="BI411" s="24" t="s">
        <v>733</v>
      </c>
      <c r="BJ411" s="24" t="s">
        <v>732</v>
      </c>
      <c r="BK411" s="24" t="s">
        <v>733</v>
      </c>
      <c r="BL411" s="25" t="s">
        <v>733</v>
      </c>
      <c r="BM411" s="24" t="s">
        <v>733</v>
      </c>
      <c r="BN411" s="24" t="s">
        <v>732</v>
      </c>
      <c r="BO411" s="24" t="s">
        <v>733</v>
      </c>
      <c r="BP411" s="24" t="s">
        <v>733</v>
      </c>
      <c r="BQ411" s="24" t="s">
        <v>945</v>
      </c>
      <c r="BR411" s="24" t="s">
        <v>945</v>
      </c>
      <c r="BS411" s="25" t="s">
        <v>934</v>
      </c>
      <c r="BT411" s="24" t="s">
        <v>934</v>
      </c>
      <c r="BU411" s="24" t="s">
        <v>934</v>
      </c>
      <c r="BV411" s="24" t="s">
        <v>934</v>
      </c>
      <c r="BW411" s="24" t="s">
        <v>934</v>
      </c>
      <c r="BX411" s="24" t="s">
        <v>934</v>
      </c>
      <c r="BY411" s="25" t="s">
        <v>945</v>
      </c>
      <c r="BZ411" t="s">
        <v>5</v>
      </c>
      <c r="CB411" t="s">
        <v>1</v>
      </c>
      <c r="CC411" s="4">
        <v>4782</v>
      </c>
      <c r="CD411" s="4"/>
      <c r="CE411" s="4"/>
      <c r="CF411" t="s">
        <v>793</v>
      </c>
      <c r="CG411">
        <v>100</v>
      </c>
      <c r="CH411" t="s">
        <v>805</v>
      </c>
      <c r="CI411" s="28">
        <v>1.6</v>
      </c>
      <c r="CJ411" s="10" t="s">
        <v>1442</v>
      </c>
      <c r="CK411" s="9" t="s">
        <v>1</v>
      </c>
      <c r="CL411" s="4" t="s">
        <v>1</v>
      </c>
      <c r="CM411" s="4" t="s">
        <v>1</v>
      </c>
      <c r="CN411" s="4" t="s">
        <v>1</v>
      </c>
      <c r="CO411" s="4" t="s">
        <v>1</v>
      </c>
      <c r="CP411" s="4" t="s">
        <v>1</v>
      </c>
      <c r="CQ411" s="4" t="s">
        <v>1</v>
      </c>
      <c r="CR411" s="4" t="s">
        <v>1</v>
      </c>
      <c r="CS411" s="4" t="s">
        <v>1</v>
      </c>
      <c r="CT411" s="4" t="s">
        <v>1</v>
      </c>
      <c r="CU411" s="4" t="s">
        <v>1</v>
      </c>
      <c r="CV411" s="38" t="s">
        <v>851</v>
      </c>
      <c r="CW411">
        <v>100</v>
      </c>
      <c r="CX411">
        <v>0</v>
      </c>
      <c r="CY411">
        <v>30</v>
      </c>
      <c r="CZ411" s="26" t="s">
        <v>1358</v>
      </c>
      <c r="DA411" t="s">
        <v>734</v>
      </c>
      <c r="DB411">
        <v>32.299999999999997</v>
      </c>
      <c r="DC411">
        <v>0</v>
      </c>
      <c r="DD411">
        <v>30</v>
      </c>
      <c r="DE411" s="26" t="s">
        <v>1358</v>
      </c>
      <c r="DF411" t="s">
        <v>735</v>
      </c>
      <c r="DG411">
        <v>41.7</v>
      </c>
      <c r="DH411">
        <v>0</v>
      </c>
      <c r="DI411">
        <v>30</v>
      </c>
      <c r="DJ411" s="26" t="s">
        <v>1358</v>
      </c>
      <c r="DK411" t="s">
        <v>736</v>
      </c>
      <c r="DL411">
        <v>26</v>
      </c>
      <c r="DM411">
        <v>0</v>
      </c>
      <c r="DN411">
        <v>30</v>
      </c>
      <c r="DO411" s="26" t="s">
        <v>1358</v>
      </c>
      <c r="DP411" t="s">
        <v>1</v>
      </c>
      <c r="DQ411" t="s">
        <v>1</v>
      </c>
      <c r="DR411" t="s">
        <v>1</v>
      </c>
      <c r="DS411" t="s">
        <v>1</v>
      </c>
      <c r="DT411" t="s">
        <v>1</v>
      </c>
      <c r="DU411" t="s">
        <v>1</v>
      </c>
      <c r="EA411" t="s">
        <v>982</v>
      </c>
      <c r="EB411">
        <v>22</v>
      </c>
      <c r="EC411">
        <v>0</v>
      </c>
      <c r="ED411">
        <v>30</v>
      </c>
      <c r="EE411" s="26" t="s">
        <v>1358</v>
      </c>
      <c r="EF411" s="26"/>
      <c r="FZ411" t="s">
        <v>806</v>
      </c>
      <c r="GA411">
        <v>805</v>
      </c>
      <c r="GE411" s="26" t="s">
        <v>1358</v>
      </c>
      <c r="HA411" s="5" t="s">
        <v>1</v>
      </c>
      <c r="HB411" s="4" t="s">
        <v>1</v>
      </c>
      <c r="HC411" t="s">
        <v>1</v>
      </c>
      <c r="HD411" t="s">
        <v>1</v>
      </c>
      <c r="HE411" t="s">
        <v>1</v>
      </c>
      <c r="HF411" s="5" t="s">
        <v>1</v>
      </c>
      <c r="HG411" s="4" t="s">
        <v>1</v>
      </c>
      <c r="HH411" t="s">
        <v>1</v>
      </c>
      <c r="HI411" t="s">
        <v>1</v>
      </c>
      <c r="HJ411" t="s">
        <v>1</v>
      </c>
      <c r="HK411" t="s">
        <v>815</v>
      </c>
      <c r="HL411" s="34">
        <v>1.38</v>
      </c>
      <c r="HM411">
        <v>0</v>
      </c>
      <c r="HN411">
        <v>30</v>
      </c>
      <c r="HO411" t="s">
        <v>1452</v>
      </c>
      <c r="HP411" s="26" t="s">
        <v>1358</v>
      </c>
      <c r="HZ411" t="s">
        <v>971</v>
      </c>
      <c r="IA411">
        <v>56</v>
      </c>
      <c r="IB411" s="10" t="s">
        <v>1</v>
      </c>
      <c r="IC411" s="10"/>
      <c r="ID411" s="10"/>
      <c r="IE411" s="10" t="s">
        <v>1</v>
      </c>
      <c r="IF411" s="10" t="s">
        <v>1</v>
      </c>
      <c r="IG411" s="10"/>
      <c r="IH411" s="10"/>
      <c r="II411" s="10"/>
      <c r="IJ411" s="10"/>
      <c r="IK411" s="10"/>
      <c r="IL411" s="10"/>
      <c r="IM411" s="10"/>
      <c r="IN411" s="10"/>
      <c r="IO411" s="10"/>
      <c r="IP411" s="10"/>
      <c r="IQ411" s="10"/>
      <c r="IR411" s="10"/>
      <c r="IS411" t="s">
        <v>1</v>
      </c>
      <c r="IT411" t="s">
        <v>1</v>
      </c>
      <c r="IW411" t="s">
        <v>1</v>
      </c>
      <c r="IX411" t="s">
        <v>1</v>
      </c>
      <c r="IY411" t="s">
        <v>1</v>
      </c>
      <c r="IZ411" t="s">
        <v>1</v>
      </c>
      <c r="JA411" t="s">
        <v>1</v>
      </c>
      <c r="JB411" s="3" t="s">
        <v>1</v>
      </c>
      <c r="JC411" t="s">
        <v>1</v>
      </c>
      <c r="JD411" s="4" t="s">
        <v>1</v>
      </c>
      <c r="JE411" t="s">
        <v>810</v>
      </c>
      <c r="JF411">
        <v>100</v>
      </c>
      <c r="JR411" t="s">
        <v>1066</v>
      </c>
      <c r="JS411">
        <v>168.2</v>
      </c>
      <c r="JU411" t="s">
        <v>1</v>
      </c>
      <c r="JW411" t="s">
        <v>1</v>
      </c>
      <c r="JX411">
        <v>0</v>
      </c>
      <c r="JY411">
        <v>106</v>
      </c>
      <c r="JZ411" t="s">
        <v>801</v>
      </c>
      <c r="KA411" t="s">
        <v>320</v>
      </c>
      <c r="KB411" t="s">
        <v>738</v>
      </c>
      <c r="KC411" t="s">
        <v>1</v>
      </c>
      <c r="KD411" t="s">
        <v>1</v>
      </c>
      <c r="KE411" s="1" t="s">
        <v>1</v>
      </c>
      <c r="KF411" t="s">
        <v>1</v>
      </c>
      <c r="KG411" t="s">
        <v>1</v>
      </c>
      <c r="KH411" t="s">
        <v>1</v>
      </c>
      <c r="KI411" t="s">
        <v>1</v>
      </c>
      <c r="KJ411" t="s">
        <v>1</v>
      </c>
      <c r="KK411" t="s">
        <v>1</v>
      </c>
    </row>
    <row r="412" spans="1:297" x14ac:dyDescent="0.2">
      <c r="A412">
        <v>380</v>
      </c>
      <c r="B412" t="s">
        <v>705</v>
      </c>
      <c r="C412" t="s">
        <v>475</v>
      </c>
      <c r="D412" t="s">
        <v>471</v>
      </c>
      <c r="E412">
        <v>68</v>
      </c>
      <c r="F412" t="s">
        <v>472</v>
      </c>
      <c r="G412" t="s">
        <v>1</v>
      </c>
      <c r="H412" s="26" t="s">
        <v>1420</v>
      </c>
      <c r="I412" t="s">
        <v>1</v>
      </c>
      <c r="J412" t="s">
        <v>1</v>
      </c>
      <c r="K412" t="s">
        <v>1</v>
      </c>
      <c r="L412" t="s">
        <v>1</v>
      </c>
      <c r="M412" t="s">
        <v>1</v>
      </c>
      <c r="N412" t="s">
        <v>1</v>
      </c>
      <c r="O412" t="s">
        <v>1</v>
      </c>
      <c r="P412" t="s">
        <v>1</v>
      </c>
      <c r="Q412" t="s">
        <v>1</v>
      </c>
      <c r="R412" t="s">
        <v>1</v>
      </c>
      <c r="S412" t="s">
        <v>1</v>
      </c>
      <c r="T412" t="s">
        <v>1</v>
      </c>
      <c r="U412" t="s">
        <v>1</v>
      </c>
      <c r="V412" t="s">
        <v>1</v>
      </c>
      <c r="W412" t="s">
        <v>1</v>
      </c>
      <c r="X412" t="s">
        <v>1</v>
      </c>
      <c r="Y412" t="s">
        <v>1</v>
      </c>
      <c r="Z412" t="s">
        <v>1</v>
      </c>
      <c r="AA412" t="s">
        <v>1</v>
      </c>
      <c r="AB412" t="s">
        <v>1</v>
      </c>
      <c r="AC412" t="s">
        <v>1</v>
      </c>
      <c r="AD412" t="s">
        <v>1</v>
      </c>
      <c r="AE412" t="s">
        <v>1</v>
      </c>
      <c r="AF412" t="s">
        <v>1</v>
      </c>
      <c r="AG412" t="s">
        <v>1</v>
      </c>
      <c r="AH412" t="s">
        <v>1</v>
      </c>
      <c r="AI412" t="s">
        <v>1</v>
      </c>
      <c r="AJ412" t="s">
        <v>1</v>
      </c>
      <c r="AK412" t="s">
        <v>1</v>
      </c>
      <c r="AL412" t="s">
        <v>1</v>
      </c>
      <c r="AM412" t="s">
        <v>1</v>
      </c>
      <c r="AN412">
        <v>380</v>
      </c>
      <c r="AO412">
        <f t="shared" si="54"/>
        <v>380</v>
      </c>
      <c r="AP412">
        <f t="shared" si="55"/>
        <v>68</v>
      </c>
      <c r="AQ412" s="26">
        <v>46</v>
      </c>
      <c r="AR412" s="26" t="s">
        <v>1355</v>
      </c>
      <c r="AS412" s="26" t="s">
        <v>1356</v>
      </c>
      <c r="AT412" t="s">
        <v>713</v>
      </c>
      <c r="AU412" t="s">
        <v>1</v>
      </c>
      <c r="AV412" t="s">
        <v>1</v>
      </c>
      <c r="AW412">
        <v>42.75</v>
      </c>
      <c r="AX412">
        <v>-94.5</v>
      </c>
      <c r="AY412" t="s">
        <v>737</v>
      </c>
      <c r="BA412" s="3">
        <v>3</v>
      </c>
      <c r="BB412" s="3"/>
      <c r="BC412" s="3"/>
      <c r="BD412" s="3"/>
      <c r="BE412" s="3"/>
      <c r="BF412">
        <v>1993</v>
      </c>
      <c r="BG412" s="24" t="s">
        <v>733</v>
      </c>
      <c r="BH412" s="24" t="s">
        <v>733</v>
      </c>
      <c r="BI412" s="24" t="s">
        <v>733</v>
      </c>
      <c r="BJ412" s="24" t="s">
        <v>732</v>
      </c>
      <c r="BK412" s="24" t="s">
        <v>733</v>
      </c>
      <c r="BL412" s="25" t="s">
        <v>733</v>
      </c>
      <c r="BM412" s="24" t="s">
        <v>733</v>
      </c>
      <c r="BN412" s="24" t="s">
        <v>732</v>
      </c>
      <c r="BO412" s="24" t="s">
        <v>733</v>
      </c>
      <c r="BP412" s="24" t="s">
        <v>733</v>
      </c>
      <c r="BQ412" s="24" t="s">
        <v>945</v>
      </c>
      <c r="BR412" s="24" t="s">
        <v>945</v>
      </c>
      <c r="BS412" s="25" t="s">
        <v>934</v>
      </c>
      <c r="BT412" s="24" t="s">
        <v>934</v>
      </c>
      <c r="BU412" s="24" t="s">
        <v>934</v>
      </c>
      <c r="BV412" s="24" t="s">
        <v>934</v>
      </c>
      <c r="BW412" s="24" t="s">
        <v>934</v>
      </c>
      <c r="BX412" s="24" t="s">
        <v>934</v>
      </c>
      <c r="BY412" s="25" t="s">
        <v>945</v>
      </c>
      <c r="BZ412" t="s">
        <v>5</v>
      </c>
      <c r="CB412" t="s">
        <v>1</v>
      </c>
      <c r="CC412" s="4">
        <v>5848</v>
      </c>
      <c r="CD412" s="4"/>
      <c r="CE412" s="4"/>
      <c r="CF412" t="s">
        <v>793</v>
      </c>
      <c r="CG412">
        <v>100</v>
      </c>
      <c r="CH412" t="s">
        <v>805</v>
      </c>
      <c r="CI412" s="28">
        <v>1.6</v>
      </c>
      <c r="CJ412" s="10" t="s">
        <v>1442</v>
      </c>
      <c r="CK412" s="9" t="s">
        <v>1</v>
      </c>
      <c r="CL412" s="4" t="s">
        <v>1</v>
      </c>
      <c r="CM412" s="4" t="s">
        <v>1</v>
      </c>
      <c r="CN412" s="4" t="s">
        <v>1</v>
      </c>
      <c r="CO412" s="4" t="s">
        <v>1</v>
      </c>
      <c r="CP412" s="4" t="s">
        <v>1</v>
      </c>
      <c r="CQ412" s="4" t="s">
        <v>1</v>
      </c>
      <c r="CR412" s="4" t="s">
        <v>1</v>
      </c>
      <c r="CS412" s="4" t="s">
        <v>1</v>
      </c>
      <c r="CT412" s="4" t="s">
        <v>1</v>
      </c>
      <c r="CU412" s="4" t="s">
        <v>1</v>
      </c>
      <c r="CV412" s="38" t="s">
        <v>851</v>
      </c>
      <c r="CW412">
        <v>100</v>
      </c>
      <c r="CX412">
        <v>0</v>
      </c>
      <c r="CY412">
        <v>30</v>
      </c>
      <c r="CZ412" s="26" t="s">
        <v>1358</v>
      </c>
      <c r="DA412" t="s">
        <v>734</v>
      </c>
      <c r="DB412">
        <v>32.299999999999997</v>
      </c>
      <c r="DC412">
        <v>0</v>
      </c>
      <c r="DD412">
        <v>30</v>
      </c>
      <c r="DE412" s="26" t="s">
        <v>1358</v>
      </c>
      <c r="DF412" t="s">
        <v>735</v>
      </c>
      <c r="DG412">
        <v>41.7</v>
      </c>
      <c r="DH412">
        <v>0</v>
      </c>
      <c r="DI412">
        <v>30</v>
      </c>
      <c r="DJ412" s="26" t="s">
        <v>1358</v>
      </c>
      <c r="DK412" t="s">
        <v>736</v>
      </c>
      <c r="DL412">
        <v>26</v>
      </c>
      <c r="DM412">
        <v>0</v>
      </c>
      <c r="DN412">
        <v>30</v>
      </c>
      <c r="DO412" s="26" t="s">
        <v>1358</v>
      </c>
      <c r="DP412" t="s">
        <v>1</v>
      </c>
      <c r="DQ412" t="s">
        <v>1</v>
      </c>
      <c r="DR412" t="s">
        <v>1</v>
      </c>
      <c r="DS412" t="s">
        <v>1</v>
      </c>
      <c r="DT412" t="s">
        <v>1</v>
      </c>
      <c r="DU412" t="s">
        <v>1</v>
      </c>
      <c r="EA412" t="s">
        <v>982</v>
      </c>
      <c r="EB412">
        <v>22</v>
      </c>
      <c r="EC412">
        <v>0</v>
      </c>
      <c r="ED412">
        <v>30</v>
      </c>
      <c r="EE412" s="26" t="s">
        <v>1358</v>
      </c>
      <c r="EF412" s="26"/>
      <c r="FZ412" t="s">
        <v>806</v>
      </c>
      <c r="GA412">
        <v>805</v>
      </c>
      <c r="GE412" s="26" t="s">
        <v>1358</v>
      </c>
      <c r="HA412" s="5" t="s">
        <v>1</v>
      </c>
      <c r="HB412" s="4" t="s">
        <v>1</v>
      </c>
      <c r="HC412" t="s">
        <v>1</v>
      </c>
      <c r="HD412" t="s">
        <v>1</v>
      </c>
      <c r="HE412" t="s">
        <v>1</v>
      </c>
      <c r="HF412" s="5" t="s">
        <v>1</v>
      </c>
      <c r="HG412" s="4" t="s">
        <v>1</v>
      </c>
      <c r="HH412" t="s">
        <v>1</v>
      </c>
      <c r="HI412" t="s">
        <v>1</v>
      </c>
      <c r="HJ412" t="s">
        <v>1</v>
      </c>
      <c r="HK412" t="s">
        <v>815</v>
      </c>
      <c r="HL412" s="34">
        <v>1.38</v>
      </c>
      <c r="HM412">
        <v>0</v>
      </c>
      <c r="HN412">
        <v>30</v>
      </c>
      <c r="HO412" t="s">
        <v>1452</v>
      </c>
      <c r="HP412" s="26" t="s">
        <v>1358</v>
      </c>
      <c r="HZ412" t="s">
        <v>971</v>
      </c>
      <c r="IA412">
        <v>112</v>
      </c>
      <c r="IB412" s="10" t="s">
        <v>1</v>
      </c>
      <c r="IC412" s="10"/>
      <c r="ID412" s="10"/>
      <c r="IE412" s="10" t="s">
        <v>1</v>
      </c>
      <c r="IF412" s="10" t="s">
        <v>1</v>
      </c>
      <c r="IG412" s="10"/>
      <c r="IH412" s="10"/>
      <c r="II412" s="10"/>
      <c r="IJ412" s="10"/>
      <c r="IK412" s="10"/>
      <c r="IL412" s="10"/>
      <c r="IM412" s="10"/>
      <c r="IN412" s="10"/>
      <c r="IO412" s="10"/>
      <c r="IP412" s="10"/>
      <c r="IQ412" s="10"/>
      <c r="IR412" s="10"/>
      <c r="IS412" t="s">
        <v>1</v>
      </c>
      <c r="IT412" t="s">
        <v>1</v>
      </c>
      <c r="IW412" t="s">
        <v>1</v>
      </c>
      <c r="IX412" t="s">
        <v>1</v>
      </c>
      <c r="IY412" t="s">
        <v>1</v>
      </c>
      <c r="IZ412" t="s">
        <v>1</v>
      </c>
      <c r="JA412" t="s">
        <v>1</v>
      </c>
      <c r="JB412" s="3" t="s">
        <v>1</v>
      </c>
      <c r="JC412" t="s">
        <v>1</v>
      </c>
      <c r="JD412" s="4" t="s">
        <v>1</v>
      </c>
      <c r="JE412" t="s">
        <v>810</v>
      </c>
      <c r="JF412">
        <v>100</v>
      </c>
      <c r="JR412" t="s">
        <v>1066</v>
      </c>
      <c r="JS412">
        <v>146.1</v>
      </c>
      <c r="JU412" t="s">
        <v>1</v>
      </c>
      <c r="JW412" t="s">
        <v>1</v>
      </c>
      <c r="JX412">
        <v>0</v>
      </c>
      <c r="JY412">
        <v>106</v>
      </c>
      <c r="JZ412" t="s">
        <v>801</v>
      </c>
      <c r="KA412" t="s">
        <v>320</v>
      </c>
      <c r="KB412" t="s">
        <v>738</v>
      </c>
      <c r="KC412" t="s">
        <v>1</v>
      </c>
      <c r="KD412" t="s">
        <v>1</v>
      </c>
      <c r="KE412" s="1" t="s">
        <v>1</v>
      </c>
      <c r="KF412" t="s">
        <v>1</v>
      </c>
      <c r="KG412" t="s">
        <v>1</v>
      </c>
      <c r="KH412" t="s">
        <v>1</v>
      </c>
      <c r="KI412" t="s">
        <v>1</v>
      </c>
      <c r="KJ412" t="s">
        <v>1</v>
      </c>
      <c r="KK412" t="s">
        <v>1</v>
      </c>
    </row>
    <row r="413" spans="1:297" x14ac:dyDescent="0.2">
      <c r="A413">
        <v>381</v>
      </c>
      <c r="B413" t="s">
        <v>705</v>
      </c>
      <c r="C413" t="s">
        <v>476</v>
      </c>
      <c r="D413" t="s">
        <v>471</v>
      </c>
      <c r="E413">
        <v>68</v>
      </c>
      <c r="F413" t="s">
        <v>472</v>
      </c>
      <c r="G413" t="s">
        <v>1</v>
      </c>
      <c r="H413" s="26" t="s">
        <v>1420</v>
      </c>
      <c r="I413" t="s">
        <v>1</v>
      </c>
      <c r="J413" t="s">
        <v>1</v>
      </c>
      <c r="K413" t="s">
        <v>1</v>
      </c>
      <c r="L413" t="s">
        <v>1</v>
      </c>
      <c r="M413" t="s">
        <v>1</v>
      </c>
      <c r="N413" t="s">
        <v>1</v>
      </c>
      <c r="O413" t="s">
        <v>1</v>
      </c>
      <c r="P413" t="s">
        <v>1</v>
      </c>
      <c r="Q413" t="s">
        <v>1</v>
      </c>
      <c r="R413" t="s">
        <v>1</v>
      </c>
      <c r="S413" t="s">
        <v>1</v>
      </c>
      <c r="T413" t="s">
        <v>1</v>
      </c>
      <c r="U413" t="s">
        <v>1</v>
      </c>
      <c r="V413" t="s">
        <v>1</v>
      </c>
      <c r="W413" t="s">
        <v>1</v>
      </c>
      <c r="X413" t="s">
        <v>1</v>
      </c>
      <c r="Y413" t="s">
        <v>1</v>
      </c>
      <c r="Z413" t="s">
        <v>1</v>
      </c>
      <c r="AA413" t="s">
        <v>1</v>
      </c>
      <c r="AB413" t="s">
        <v>1</v>
      </c>
      <c r="AC413" t="s">
        <v>1</v>
      </c>
      <c r="AD413" t="s">
        <v>1</v>
      </c>
      <c r="AE413" t="s">
        <v>1</v>
      </c>
      <c r="AF413" t="s">
        <v>1</v>
      </c>
      <c r="AG413" t="s">
        <v>1</v>
      </c>
      <c r="AH413" t="s">
        <v>1</v>
      </c>
      <c r="AI413" t="s">
        <v>1</v>
      </c>
      <c r="AJ413" t="s">
        <v>1</v>
      </c>
      <c r="AK413" t="s">
        <v>1</v>
      </c>
      <c r="AL413" t="s">
        <v>1</v>
      </c>
      <c r="AM413" t="s">
        <v>1</v>
      </c>
      <c r="AN413">
        <v>381</v>
      </c>
      <c r="AO413">
        <f t="shared" si="54"/>
        <v>381</v>
      </c>
      <c r="AP413">
        <f t="shared" si="55"/>
        <v>68</v>
      </c>
      <c r="AQ413" s="26">
        <v>46</v>
      </c>
      <c r="AR413" s="26" t="s">
        <v>1355</v>
      </c>
      <c r="AS413" s="26" t="s">
        <v>1356</v>
      </c>
      <c r="AT413" t="s">
        <v>713</v>
      </c>
      <c r="AU413" t="s">
        <v>1</v>
      </c>
      <c r="AV413" t="s">
        <v>1</v>
      </c>
      <c r="AW413">
        <v>42.75</v>
      </c>
      <c r="AX413">
        <v>-94.5</v>
      </c>
      <c r="AY413" t="s">
        <v>737</v>
      </c>
      <c r="BA413" s="3">
        <v>3</v>
      </c>
      <c r="BB413" s="3"/>
      <c r="BC413" s="3"/>
      <c r="BD413" s="3"/>
      <c r="BE413" s="3"/>
      <c r="BF413">
        <v>1993</v>
      </c>
      <c r="BG413" s="24" t="s">
        <v>733</v>
      </c>
      <c r="BH413" s="24" t="s">
        <v>733</v>
      </c>
      <c r="BI413" s="24" t="s">
        <v>733</v>
      </c>
      <c r="BJ413" s="24" t="s">
        <v>732</v>
      </c>
      <c r="BK413" s="24" t="s">
        <v>733</v>
      </c>
      <c r="BL413" s="25" t="s">
        <v>733</v>
      </c>
      <c r="BM413" s="24" t="s">
        <v>733</v>
      </c>
      <c r="BN413" s="24" t="s">
        <v>732</v>
      </c>
      <c r="BO413" s="24" t="s">
        <v>733</v>
      </c>
      <c r="BP413" s="24" t="s">
        <v>733</v>
      </c>
      <c r="BQ413" s="24" t="s">
        <v>945</v>
      </c>
      <c r="BR413" s="24" t="s">
        <v>945</v>
      </c>
      <c r="BS413" s="25" t="s">
        <v>934</v>
      </c>
      <c r="BT413" s="24" t="s">
        <v>934</v>
      </c>
      <c r="BU413" s="24" t="s">
        <v>934</v>
      </c>
      <c r="BV413" s="24" t="s">
        <v>934</v>
      </c>
      <c r="BW413" s="24" t="s">
        <v>934</v>
      </c>
      <c r="BX413" s="24" t="s">
        <v>934</v>
      </c>
      <c r="BY413" s="25" t="s">
        <v>945</v>
      </c>
      <c r="BZ413" t="s">
        <v>5</v>
      </c>
      <c r="CB413" t="s">
        <v>1</v>
      </c>
      <c r="CC413" s="4">
        <v>7196</v>
      </c>
      <c r="CD413" s="4"/>
      <c r="CE413" s="4"/>
      <c r="CF413" t="s">
        <v>793</v>
      </c>
      <c r="CG413">
        <v>100</v>
      </c>
      <c r="CH413" t="s">
        <v>805</v>
      </c>
      <c r="CI413" s="28">
        <v>1.6</v>
      </c>
      <c r="CJ413" s="10" t="s">
        <v>1442</v>
      </c>
      <c r="CK413" s="9" t="s">
        <v>1</v>
      </c>
      <c r="CL413" s="4" t="s">
        <v>1</v>
      </c>
      <c r="CM413" s="4" t="s">
        <v>1</v>
      </c>
      <c r="CN413" s="4" t="s">
        <v>1</v>
      </c>
      <c r="CO413" s="4" t="s">
        <v>1</v>
      </c>
      <c r="CP413" s="4" t="s">
        <v>1</v>
      </c>
      <c r="CQ413" s="4" t="s">
        <v>1</v>
      </c>
      <c r="CR413" s="4" t="s">
        <v>1</v>
      </c>
      <c r="CS413" s="4" t="s">
        <v>1</v>
      </c>
      <c r="CT413" s="4" t="s">
        <v>1</v>
      </c>
      <c r="CU413" s="4" t="s">
        <v>1</v>
      </c>
      <c r="CV413" s="38" t="s">
        <v>851</v>
      </c>
      <c r="CW413">
        <v>100</v>
      </c>
      <c r="CX413">
        <v>0</v>
      </c>
      <c r="CY413">
        <v>30</v>
      </c>
      <c r="CZ413" s="26" t="s">
        <v>1358</v>
      </c>
      <c r="DA413" t="s">
        <v>734</v>
      </c>
      <c r="DB413">
        <v>32.299999999999997</v>
      </c>
      <c r="DC413">
        <v>0</v>
      </c>
      <c r="DD413">
        <v>30</v>
      </c>
      <c r="DE413" s="26" t="s">
        <v>1358</v>
      </c>
      <c r="DF413" t="s">
        <v>735</v>
      </c>
      <c r="DG413">
        <v>41.7</v>
      </c>
      <c r="DH413">
        <v>0</v>
      </c>
      <c r="DI413">
        <v>30</v>
      </c>
      <c r="DJ413" s="26" t="s">
        <v>1358</v>
      </c>
      <c r="DK413" t="s">
        <v>736</v>
      </c>
      <c r="DL413">
        <v>26</v>
      </c>
      <c r="DM413">
        <v>0</v>
      </c>
      <c r="DN413">
        <v>30</v>
      </c>
      <c r="DO413" s="26" t="s">
        <v>1358</v>
      </c>
      <c r="DP413" t="s">
        <v>1</v>
      </c>
      <c r="DQ413" t="s">
        <v>1</v>
      </c>
      <c r="DR413" t="s">
        <v>1</v>
      </c>
      <c r="DS413" t="s">
        <v>1</v>
      </c>
      <c r="DT413" t="s">
        <v>1</v>
      </c>
      <c r="DU413" t="s">
        <v>1</v>
      </c>
      <c r="EA413" t="s">
        <v>982</v>
      </c>
      <c r="EB413">
        <v>22</v>
      </c>
      <c r="EC413">
        <v>0</v>
      </c>
      <c r="ED413">
        <v>30</v>
      </c>
      <c r="EE413" s="26" t="s">
        <v>1358</v>
      </c>
      <c r="EF413" s="26"/>
      <c r="FZ413" t="s">
        <v>806</v>
      </c>
      <c r="GA413">
        <v>805</v>
      </c>
      <c r="GE413" s="26" t="s">
        <v>1358</v>
      </c>
      <c r="HA413" s="5" t="s">
        <v>1</v>
      </c>
      <c r="HB413" s="4" t="s">
        <v>1</v>
      </c>
      <c r="HC413" t="s">
        <v>1</v>
      </c>
      <c r="HD413" t="s">
        <v>1</v>
      </c>
      <c r="HE413" t="s">
        <v>1</v>
      </c>
      <c r="HF413" s="5" t="s">
        <v>1</v>
      </c>
      <c r="HG413" s="4" t="s">
        <v>1</v>
      </c>
      <c r="HH413" t="s">
        <v>1</v>
      </c>
      <c r="HI413" t="s">
        <v>1</v>
      </c>
      <c r="HJ413" t="s">
        <v>1</v>
      </c>
      <c r="HK413" t="s">
        <v>815</v>
      </c>
      <c r="HL413" s="34">
        <v>1.38</v>
      </c>
      <c r="HM413">
        <v>0</v>
      </c>
      <c r="HN413">
        <v>30</v>
      </c>
      <c r="HO413" t="s">
        <v>1452</v>
      </c>
      <c r="HP413" s="26" t="s">
        <v>1358</v>
      </c>
      <c r="HZ413" t="s">
        <v>971</v>
      </c>
      <c r="IA413">
        <v>168</v>
      </c>
      <c r="IB413" s="10" t="s">
        <v>1</v>
      </c>
      <c r="IC413" s="10"/>
      <c r="ID413" s="10"/>
      <c r="IE413" s="10" t="s">
        <v>1</v>
      </c>
      <c r="IF413" s="10" t="s">
        <v>1</v>
      </c>
      <c r="IG413" s="10"/>
      <c r="IH413" s="10"/>
      <c r="II413" s="10"/>
      <c r="IJ413" s="10"/>
      <c r="IK413" s="10"/>
      <c r="IL413" s="10"/>
      <c r="IM413" s="10"/>
      <c r="IN413" s="10"/>
      <c r="IO413" s="10"/>
      <c r="IP413" s="10"/>
      <c r="IQ413" s="10"/>
      <c r="IR413" s="10"/>
      <c r="IS413" t="s">
        <v>1</v>
      </c>
      <c r="IT413" t="s">
        <v>1</v>
      </c>
      <c r="IW413" t="s">
        <v>1</v>
      </c>
      <c r="IX413" t="s">
        <v>1</v>
      </c>
      <c r="IY413" t="s">
        <v>1</v>
      </c>
      <c r="IZ413" t="s">
        <v>1</v>
      </c>
      <c r="JA413" t="s">
        <v>1</v>
      </c>
      <c r="JB413" s="3" t="s">
        <v>1</v>
      </c>
      <c r="JC413" t="s">
        <v>1</v>
      </c>
      <c r="JD413" s="4" t="s">
        <v>1</v>
      </c>
      <c r="JE413" t="s">
        <v>810</v>
      </c>
      <c r="JF413">
        <v>100</v>
      </c>
      <c r="JR413" t="s">
        <v>1066</v>
      </c>
      <c r="JS413">
        <v>172.6</v>
      </c>
      <c r="JU413" t="s">
        <v>1</v>
      </c>
      <c r="JW413" t="s">
        <v>1</v>
      </c>
      <c r="JX413">
        <v>0</v>
      </c>
      <c r="JY413">
        <v>106</v>
      </c>
      <c r="JZ413" t="s">
        <v>801</v>
      </c>
      <c r="KA413" t="s">
        <v>320</v>
      </c>
      <c r="KB413" t="s">
        <v>738</v>
      </c>
      <c r="KC413" t="s">
        <v>1</v>
      </c>
      <c r="KD413" t="s">
        <v>1</v>
      </c>
      <c r="KE413" s="1" t="s">
        <v>1</v>
      </c>
      <c r="KF413" t="s">
        <v>1</v>
      </c>
      <c r="KG413" t="s">
        <v>1</v>
      </c>
      <c r="KH413" t="s">
        <v>1</v>
      </c>
      <c r="KI413" t="s">
        <v>1</v>
      </c>
      <c r="KJ413" t="s">
        <v>1</v>
      </c>
      <c r="KK413" t="s">
        <v>1</v>
      </c>
    </row>
    <row r="414" spans="1:297" x14ac:dyDescent="0.2">
      <c r="A414">
        <v>382</v>
      </c>
      <c r="B414" t="s">
        <v>705</v>
      </c>
      <c r="C414" t="s">
        <v>477</v>
      </c>
      <c r="D414" t="s">
        <v>471</v>
      </c>
      <c r="E414">
        <v>68</v>
      </c>
      <c r="F414" t="s">
        <v>472</v>
      </c>
      <c r="G414" t="s">
        <v>1</v>
      </c>
      <c r="H414" s="26" t="s">
        <v>1420</v>
      </c>
      <c r="I414" t="s">
        <v>1</v>
      </c>
      <c r="J414" t="s">
        <v>1</v>
      </c>
      <c r="K414" t="s">
        <v>1</v>
      </c>
      <c r="L414" t="s">
        <v>1</v>
      </c>
      <c r="M414" t="s">
        <v>1</v>
      </c>
      <c r="N414" t="s">
        <v>1</v>
      </c>
      <c r="O414" t="s">
        <v>1</v>
      </c>
      <c r="P414" t="s">
        <v>1</v>
      </c>
      <c r="Q414" t="s">
        <v>1</v>
      </c>
      <c r="R414" t="s">
        <v>1</v>
      </c>
      <c r="S414" t="s">
        <v>1</v>
      </c>
      <c r="T414" t="s">
        <v>1</v>
      </c>
      <c r="U414" t="s">
        <v>1</v>
      </c>
      <c r="V414" t="s">
        <v>1</v>
      </c>
      <c r="W414" t="s">
        <v>1</v>
      </c>
      <c r="X414" t="s">
        <v>1</v>
      </c>
      <c r="Y414" t="s">
        <v>1</v>
      </c>
      <c r="Z414" t="s">
        <v>1</v>
      </c>
      <c r="AA414" t="s">
        <v>1</v>
      </c>
      <c r="AB414" t="s">
        <v>1</v>
      </c>
      <c r="AC414" t="s">
        <v>1</v>
      </c>
      <c r="AD414" t="s">
        <v>1</v>
      </c>
      <c r="AE414" t="s">
        <v>1</v>
      </c>
      <c r="AF414" t="s">
        <v>1</v>
      </c>
      <c r="AG414" t="s">
        <v>1</v>
      </c>
      <c r="AH414" t="s">
        <v>1</v>
      </c>
      <c r="AI414" t="s">
        <v>1</v>
      </c>
      <c r="AJ414" t="s">
        <v>1</v>
      </c>
      <c r="AK414" t="s">
        <v>1</v>
      </c>
      <c r="AL414" t="s">
        <v>1</v>
      </c>
      <c r="AM414" t="s">
        <v>1</v>
      </c>
      <c r="AN414">
        <v>382</v>
      </c>
      <c r="AO414">
        <f t="shared" si="54"/>
        <v>382</v>
      </c>
      <c r="AP414">
        <f t="shared" si="55"/>
        <v>68</v>
      </c>
      <c r="AQ414" s="26">
        <v>46</v>
      </c>
      <c r="AR414" s="26" t="s">
        <v>1355</v>
      </c>
      <c r="AS414" s="26" t="s">
        <v>1356</v>
      </c>
      <c r="AT414" t="s">
        <v>713</v>
      </c>
      <c r="AU414" t="s">
        <v>1</v>
      </c>
      <c r="AV414" t="s">
        <v>1</v>
      </c>
      <c r="AW414">
        <v>42.75</v>
      </c>
      <c r="AX414">
        <v>-94.5</v>
      </c>
      <c r="AY414" t="s">
        <v>737</v>
      </c>
      <c r="BA414" s="3">
        <v>3</v>
      </c>
      <c r="BB414" s="3"/>
      <c r="BC414" s="3"/>
      <c r="BD414" s="3"/>
      <c r="BE414" s="3"/>
      <c r="BF414">
        <v>1993</v>
      </c>
      <c r="BG414" s="24" t="s">
        <v>733</v>
      </c>
      <c r="BH414" s="24" t="s">
        <v>733</v>
      </c>
      <c r="BI414" s="24" t="s">
        <v>733</v>
      </c>
      <c r="BJ414" s="24" t="s">
        <v>732</v>
      </c>
      <c r="BK414" s="24" t="s">
        <v>733</v>
      </c>
      <c r="BL414" s="25" t="s">
        <v>733</v>
      </c>
      <c r="BM414" s="24" t="s">
        <v>733</v>
      </c>
      <c r="BN414" s="24" t="s">
        <v>732</v>
      </c>
      <c r="BO414" s="24" t="s">
        <v>733</v>
      </c>
      <c r="BP414" s="24" t="s">
        <v>733</v>
      </c>
      <c r="BQ414" s="24" t="s">
        <v>945</v>
      </c>
      <c r="BR414" s="24" t="s">
        <v>945</v>
      </c>
      <c r="BS414" s="25" t="s">
        <v>934</v>
      </c>
      <c r="BT414" s="24" t="s">
        <v>934</v>
      </c>
      <c r="BU414" s="24" t="s">
        <v>934</v>
      </c>
      <c r="BV414" s="24" t="s">
        <v>934</v>
      </c>
      <c r="BW414" s="24" t="s">
        <v>934</v>
      </c>
      <c r="BX414" s="24" t="s">
        <v>934</v>
      </c>
      <c r="BY414" s="25" t="s">
        <v>945</v>
      </c>
      <c r="BZ414" t="s">
        <v>5</v>
      </c>
      <c r="CB414" t="s">
        <v>1</v>
      </c>
      <c r="CC414" s="4">
        <v>6992</v>
      </c>
      <c r="CD414" s="4"/>
      <c r="CE414" s="4"/>
      <c r="CF414" t="s">
        <v>793</v>
      </c>
      <c r="CG414">
        <v>100</v>
      </c>
      <c r="CH414" t="s">
        <v>805</v>
      </c>
      <c r="CI414" s="28">
        <v>1.6</v>
      </c>
      <c r="CJ414" s="10" t="s">
        <v>1442</v>
      </c>
      <c r="CK414" s="9" t="s">
        <v>1</v>
      </c>
      <c r="CL414" s="4" t="s">
        <v>1</v>
      </c>
      <c r="CM414" s="4" t="s">
        <v>1</v>
      </c>
      <c r="CN414" s="4" t="s">
        <v>1</v>
      </c>
      <c r="CO414" s="4" t="s">
        <v>1</v>
      </c>
      <c r="CP414" s="4" t="s">
        <v>1</v>
      </c>
      <c r="CQ414" s="4" t="s">
        <v>1</v>
      </c>
      <c r="CR414" s="4" t="s">
        <v>1</v>
      </c>
      <c r="CS414" s="4" t="s">
        <v>1</v>
      </c>
      <c r="CT414" s="4" t="s">
        <v>1</v>
      </c>
      <c r="CU414" s="4" t="s">
        <v>1</v>
      </c>
      <c r="CV414" s="38" t="s">
        <v>851</v>
      </c>
      <c r="CW414">
        <v>100</v>
      </c>
      <c r="CX414">
        <v>0</v>
      </c>
      <c r="CY414">
        <v>30</v>
      </c>
      <c r="CZ414" s="26" t="s">
        <v>1358</v>
      </c>
      <c r="DA414" t="s">
        <v>734</v>
      </c>
      <c r="DB414">
        <v>32.299999999999997</v>
      </c>
      <c r="DC414">
        <v>0</v>
      </c>
      <c r="DD414">
        <v>30</v>
      </c>
      <c r="DE414" s="26" t="s">
        <v>1358</v>
      </c>
      <c r="DF414" t="s">
        <v>735</v>
      </c>
      <c r="DG414">
        <v>41.7</v>
      </c>
      <c r="DH414">
        <v>0</v>
      </c>
      <c r="DI414">
        <v>30</v>
      </c>
      <c r="DJ414" s="26" t="s">
        <v>1358</v>
      </c>
      <c r="DK414" t="s">
        <v>736</v>
      </c>
      <c r="DL414">
        <v>26</v>
      </c>
      <c r="DM414">
        <v>0</v>
      </c>
      <c r="DN414">
        <v>30</v>
      </c>
      <c r="DO414" s="26" t="s">
        <v>1358</v>
      </c>
      <c r="DP414" t="s">
        <v>1</v>
      </c>
      <c r="DQ414" t="s">
        <v>1</v>
      </c>
      <c r="DR414" t="s">
        <v>1</v>
      </c>
      <c r="DS414" t="s">
        <v>1</v>
      </c>
      <c r="DT414" t="s">
        <v>1</v>
      </c>
      <c r="DU414" t="s">
        <v>1</v>
      </c>
      <c r="EA414" t="s">
        <v>982</v>
      </c>
      <c r="EB414">
        <v>22</v>
      </c>
      <c r="EC414">
        <v>0</v>
      </c>
      <c r="ED414">
        <v>30</v>
      </c>
      <c r="EE414" s="26" t="s">
        <v>1358</v>
      </c>
      <c r="EF414" s="26"/>
      <c r="FZ414" t="s">
        <v>806</v>
      </c>
      <c r="GA414">
        <v>805</v>
      </c>
      <c r="GE414" s="26" t="s">
        <v>1358</v>
      </c>
      <c r="HA414" s="5" t="s">
        <v>1</v>
      </c>
      <c r="HB414" s="4" t="s">
        <v>1</v>
      </c>
      <c r="HC414" t="s">
        <v>1</v>
      </c>
      <c r="HD414" t="s">
        <v>1</v>
      </c>
      <c r="HE414" t="s">
        <v>1</v>
      </c>
      <c r="HF414" s="5" t="s">
        <v>1</v>
      </c>
      <c r="HG414" s="4" t="s">
        <v>1</v>
      </c>
      <c r="HH414" t="s">
        <v>1</v>
      </c>
      <c r="HI414" t="s">
        <v>1</v>
      </c>
      <c r="HJ414" t="s">
        <v>1</v>
      </c>
      <c r="HK414" t="s">
        <v>815</v>
      </c>
      <c r="HL414" s="34">
        <v>1.38</v>
      </c>
      <c r="HM414">
        <v>0</v>
      </c>
      <c r="HN414">
        <v>30</v>
      </c>
      <c r="HO414" t="s">
        <v>1452</v>
      </c>
      <c r="HP414" s="26" t="s">
        <v>1358</v>
      </c>
      <c r="HZ414" t="s">
        <v>971</v>
      </c>
      <c r="IA414">
        <v>224</v>
      </c>
      <c r="IB414" s="10" t="s">
        <v>1</v>
      </c>
      <c r="IC414" s="10"/>
      <c r="ID414" s="10"/>
      <c r="IE414" s="10" t="s">
        <v>1</v>
      </c>
      <c r="IF414" s="10" t="s">
        <v>1</v>
      </c>
      <c r="IG414" s="10"/>
      <c r="IH414" s="10"/>
      <c r="II414" s="10"/>
      <c r="IJ414" s="10"/>
      <c r="IK414" s="10"/>
      <c r="IL414" s="10"/>
      <c r="IM414" s="10"/>
      <c r="IN414" s="10"/>
      <c r="IO414" s="10"/>
      <c r="IP414" s="10"/>
      <c r="IQ414" s="10"/>
      <c r="IR414" s="10"/>
      <c r="IS414" t="s">
        <v>1</v>
      </c>
      <c r="IT414" t="s">
        <v>1</v>
      </c>
      <c r="IW414" t="s">
        <v>1</v>
      </c>
      <c r="IX414" t="s">
        <v>1</v>
      </c>
      <c r="IY414" t="s">
        <v>1</v>
      </c>
      <c r="IZ414" t="s">
        <v>1</v>
      </c>
      <c r="JA414" t="s">
        <v>1</v>
      </c>
      <c r="JB414" s="3" t="s">
        <v>1</v>
      </c>
      <c r="JC414" t="s">
        <v>1</v>
      </c>
      <c r="JD414" s="4" t="s">
        <v>1</v>
      </c>
      <c r="JE414" t="s">
        <v>810</v>
      </c>
      <c r="JF414">
        <v>100</v>
      </c>
      <c r="JR414" t="s">
        <v>1066</v>
      </c>
      <c r="JS414">
        <v>212.5</v>
      </c>
      <c r="JU414" t="s">
        <v>1</v>
      </c>
      <c r="JW414" t="s">
        <v>1</v>
      </c>
      <c r="JX414">
        <v>0</v>
      </c>
      <c r="JY414">
        <v>106</v>
      </c>
      <c r="JZ414" t="s">
        <v>801</v>
      </c>
      <c r="KA414" t="s">
        <v>320</v>
      </c>
      <c r="KB414" t="s">
        <v>738</v>
      </c>
      <c r="KC414" t="s">
        <v>1</v>
      </c>
      <c r="KD414" t="s">
        <v>1</v>
      </c>
      <c r="KE414" s="1" t="s">
        <v>1</v>
      </c>
      <c r="KF414" t="s">
        <v>1</v>
      </c>
      <c r="KG414" t="s">
        <v>1</v>
      </c>
      <c r="KH414" t="s">
        <v>1</v>
      </c>
      <c r="KI414" t="s">
        <v>1</v>
      </c>
      <c r="KJ414" t="s">
        <v>1</v>
      </c>
      <c r="KK414" t="s">
        <v>1</v>
      </c>
    </row>
    <row r="415" spans="1:297" x14ac:dyDescent="0.2">
      <c r="A415">
        <v>383</v>
      </c>
      <c r="B415" t="s">
        <v>705</v>
      </c>
      <c r="C415" t="s">
        <v>89</v>
      </c>
      <c r="D415" t="s">
        <v>478</v>
      </c>
      <c r="E415">
        <v>69</v>
      </c>
      <c r="F415" t="s">
        <v>479</v>
      </c>
      <c r="G415" t="s">
        <v>1</v>
      </c>
      <c r="H415" s="26" t="s">
        <v>1420</v>
      </c>
      <c r="I415" t="s">
        <v>1</v>
      </c>
      <c r="J415" t="s">
        <v>1</v>
      </c>
      <c r="K415" t="s">
        <v>1</v>
      </c>
      <c r="L415" t="s">
        <v>1</v>
      </c>
      <c r="M415" t="s">
        <v>1</v>
      </c>
      <c r="N415" t="s">
        <v>1</v>
      </c>
      <c r="O415" t="s">
        <v>1</v>
      </c>
      <c r="P415" t="s">
        <v>1</v>
      </c>
      <c r="Q415" t="s">
        <v>1</v>
      </c>
      <c r="R415" t="s">
        <v>1</v>
      </c>
      <c r="S415" t="s">
        <v>1</v>
      </c>
      <c r="T415" t="s">
        <v>1</v>
      </c>
      <c r="U415" t="s">
        <v>1</v>
      </c>
      <c r="V415" t="s">
        <v>1</v>
      </c>
      <c r="W415" t="s">
        <v>1</v>
      </c>
      <c r="X415" t="s">
        <v>1</v>
      </c>
      <c r="Y415" t="s">
        <v>1</v>
      </c>
      <c r="Z415" t="s">
        <v>1</v>
      </c>
      <c r="AA415" t="s">
        <v>1</v>
      </c>
      <c r="AB415" t="s">
        <v>1</v>
      </c>
      <c r="AC415" t="s">
        <v>1</v>
      </c>
      <c r="AD415" t="s">
        <v>1</v>
      </c>
      <c r="AE415" t="s">
        <v>1</v>
      </c>
      <c r="AF415" t="s">
        <v>1</v>
      </c>
      <c r="AG415" t="s">
        <v>1</v>
      </c>
      <c r="AH415" t="s">
        <v>1</v>
      </c>
      <c r="AI415" t="s">
        <v>1</v>
      </c>
      <c r="AJ415" t="s">
        <v>1</v>
      </c>
      <c r="AK415" t="s">
        <v>1</v>
      </c>
      <c r="AL415" t="s">
        <v>1</v>
      </c>
      <c r="AM415" t="s">
        <v>1</v>
      </c>
      <c r="AN415">
        <v>383</v>
      </c>
      <c r="AO415">
        <f t="shared" si="54"/>
        <v>383</v>
      </c>
      <c r="AP415">
        <f t="shared" si="55"/>
        <v>69</v>
      </c>
      <c r="AQ415">
        <f t="shared" ref="AQ415:AQ446" si="57">E415</f>
        <v>69</v>
      </c>
      <c r="AR415" s="26" t="s">
        <v>1355</v>
      </c>
      <c r="AS415" s="26" t="s">
        <v>1356</v>
      </c>
      <c r="AT415" t="s">
        <v>710</v>
      </c>
      <c r="AU415" t="s">
        <v>1</v>
      </c>
      <c r="AV415" t="s">
        <v>1</v>
      </c>
      <c r="AW415">
        <v>31.53</v>
      </c>
      <c r="AX415">
        <v>120.7</v>
      </c>
      <c r="AY415" t="s">
        <v>737</v>
      </c>
      <c r="BA415" s="3">
        <v>3</v>
      </c>
      <c r="BB415" s="3"/>
      <c r="BC415" s="3"/>
      <c r="BD415" s="3"/>
      <c r="BE415" s="3"/>
      <c r="BF415">
        <v>2005</v>
      </c>
      <c r="BG415" s="24" t="s">
        <v>733</v>
      </c>
      <c r="BH415" s="24" t="s">
        <v>733</v>
      </c>
      <c r="BI415" s="24" t="s">
        <v>733</v>
      </c>
      <c r="BJ415" s="24" t="s">
        <v>732</v>
      </c>
      <c r="BK415" s="24" t="s">
        <v>733</v>
      </c>
      <c r="BL415" s="25" t="s">
        <v>733</v>
      </c>
      <c r="BM415" s="24" t="s">
        <v>733</v>
      </c>
      <c r="BN415" s="24" t="s">
        <v>732</v>
      </c>
      <c r="BO415" s="24" t="s">
        <v>733</v>
      </c>
      <c r="BP415" s="24" t="s">
        <v>733</v>
      </c>
      <c r="BQ415" s="24" t="s">
        <v>945</v>
      </c>
      <c r="BR415" s="24" t="s">
        <v>945</v>
      </c>
      <c r="BS415" s="25" t="s">
        <v>934</v>
      </c>
      <c r="BT415" s="24" t="s">
        <v>934</v>
      </c>
      <c r="BU415" s="24" t="s">
        <v>934</v>
      </c>
      <c r="BV415" s="24" t="s">
        <v>934</v>
      </c>
      <c r="BW415" s="24" t="s">
        <v>934</v>
      </c>
      <c r="BX415" s="24" t="s">
        <v>934</v>
      </c>
      <c r="BY415" s="25" t="s">
        <v>945</v>
      </c>
      <c r="BZ415" t="s">
        <v>1410</v>
      </c>
      <c r="CB415" t="s">
        <v>118</v>
      </c>
      <c r="CC415" s="4">
        <v>3863</v>
      </c>
      <c r="CD415" s="4"/>
      <c r="CE415" s="4"/>
      <c r="CF415" t="s">
        <v>793</v>
      </c>
      <c r="CG415">
        <v>100</v>
      </c>
      <c r="CH415" t="s">
        <v>805</v>
      </c>
      <c r="CI415" s="28">
        <v>0.5</v>
      </c>
      <c r="CJ415" s="10" t="s">
        <v>1442</v>
      </c>
      <c r="CK415" s="9" t="s">
        <v>1</v>
      </c>
      <c r="CL415" s="4" t="s">
        <v>1</v>
      </c>
      <c r="CM415" t="s">
        <v>847</v>
      </c>
      <c r="CN415" s="4">
        <v>57</v>
      </c>
      <c r="CO415" s="4" t="s">
        <v>1</v>
      </c>
      <c r="CP415" s="4" t="s">
        <v>1</v>
      </c>
      <c r="CQ415" s="4" t="s">
        <v>1</v>
      </c>
      <c r="CR415" s="4" t="s">
        <v>1</v>
      </c>
      <c r="CS415" s="4" t="s">
        <v>1</v>
      </c>
      <c r="CT415" s="4" t="s">
        <v>1</v>
      </c>
      <c r="CU415" s="4" t="s">
        <v>1</v>
      </c>
      <c r="CV415" s="38" t="s">
        <v>1068</v>
      </c>
      <c r="CW415">
        <v>100</v>
      </c>
      <c r="CX415">
        <v>0</v>
      </c>
      <c r="CY415">
        <v>15</v>
      </c>
      <c r="CZ415" s="26" t="s">
        <v>1358</v>
      </c>
      <c r="DA415" t="s">
        <v>734</v>
      </c>
      <c r="DB415">
        <v>10.4</v>
      </c>
      <c r="DC415">
        <v>0</v>
      </c>
      <c r="DD415">
        <v>15</v>
      </c>
      <c r="DE415" s="26" t="s">
        <v>1358</v>
      </c>
      <c r="DF415" t="s">
        <v>735</v>
      </c>
      <c r="DG415">
        <v>68.599999999999994</v>
      </c>
      <c r="DH415">
        <v>0</v>
      </c>
      <c r="DI415">
        <v>15</v>
      </c>
      <c r="DJ415" s="26" t="s">
        <v>1358</v>
      </c>
      <c r="DK415" t="s">
        <v>736</v>
      </c>
      <c r="DL415">
        <v>21</v>
      </c>
      <c r="DM415">
        <v>0</v>
      </c>
      <c r="DN415">
        <v>15</v>
      </c>
      <c r="DO415" s="26" t="s">
        <v>1358</v>
      </c>
      <c r="DP415" t="s">
        <v>6</v>
      </c>
      <c r="DQ415" t="s">
        <v>813</v>
      </c>
      <c r="DR415">
        <v>6.1</v>
      </c>
      <c r="DS415">
        <v>0</v>
      </c>
      <c r="DT415">
        <v>15</v>
      </c>
      <c r="DU415" s="26" t="s">
        <v>1358</v>
      </c>
      <c r="EA415" t="s">
        <v>982</v>
      </c>
      <c r="EB415">
        <v>16.100000000000001</v>
      </c>
      <c r="EC415">
        <v>0</v>
      </c>
      <c r="ED415">
        <v>15</v>
      </c>
      <c r="EE415" s="26" t="s">
        <v>1358</v>
      </c>
      <c r="EF415" s="26"/>
      <c r="FZ415" t="s">
        <v>806</v>
      </c>
      <c r="GA415">
        <v>421</v>
      </c>
      <c r="GE415" s="26" t="s">
        <v>1358</v>
      </c>
      <c r="HA415" s="5" t="s">
        <v>1069</v>
      </c>
      <c r="HB415" s="4">
        <v>15</v>
      </c>
      <c r="HC415">
        <v>0</v>
      </c>
      <c r="HD415">
        <v>15</v>
      </c>
      <c r="HE415" s="26" t="s">
        <v>1358</v>
      </c>
      <c r="HF415" s="5" t="s">
        <v>1063</v>
      </c>
      <c r="HG415" s="4">
        <v>1.81</v>
      </c>
      <c r="HH415">
        <v>0</v>
      </c>
      <c r="HI415">
        <v>15</v>
      </c>
      <c r="HJ415" s="26" t="s">
        <v>1358</v>
      </c>
      <c r="HK415" t="s">
        <v>1</v>
      </c>
      <c r="HL415" t="s">
        <v>1</v>
      </c>
      <c r="HM415" t="s">
        <v>1</v>
      </c>
      <c r="HN415" t="s">
        <v>1</v>
      </c>
      <c r="HO415" t="s">
        <v>1</v>
      </c>
      <c r="HP415" t="s">
        <v>1</v>
      </c>
      <c r="HZ415" t="s">
        <v>1</v>
      </c>
      <c r="IA415" t="s">
        <v>1</v>
      </c>
      <c r="IB415" s="10" t="s">
        <v>1</v>
      </c>
      <c r="IC415" s="10"/>
      <c r="ID415" s="10"/>
      <c r="IE415" s="10" t="s">
        <v>1</v>
      </c>
      <c r="IF415" s="10" t="s">
        <v>1</v>
      </c>
      <c r="IG415" s="10"/>
      <c r="IH415" s="10"/>
      <c r="II415" s="10"/>
      <c r="IJ415" s="10"/>
      <c r="IK415" s="10"/>
      <c r="IL415" s="10"/>
      <c r="IM415" s="10"/>
      <c r="IN415" s="10"/>
      <c r="IO415" s="10"/>
      <c r="IP415" s="10"/>
      <c r="IQ415" s="10"/>
      <c r="IR415" s="10"/>
      <c r="IS415" t="s">
        <v>1</v>
      </c>
      <c r="IT415" t="s">
        <v>1</v>
      </c>
      <c r="IW415" t="s">
        <v>1</v>
      </c>
      <c r="IX415" t="s">
        <v>1</v>
      </c>
      <c r="IY415" t="s">
        <v>808</v>
      </c>
      <c r="IZ415">
        <v>6500</v>
      </c>
      <c r="JA415" t="s">
        <v>1</v>
      </c>
      <c r="JB415" s="3" t="s">
        <v>1</v>
      </c>
      <c r="JC415" t="s">
        <v>1</v>
      </c>
      <c r="JD415" s="4" t="s">
        <v>1</v>
      </c>
      <c r="JE415" t="s">
        <v>1</v>
      </c>
      <c r="JF415" t="s">
        <v>1</v>
      </c>
      <c r="JR415" t="s">
        <v>1066</v>
      </c>
      <c r="JS415">
        <v>1</v>
      </c>
      <c r="JU415" t="s">
        <v>1</v>
      </c>
      <c r="JW415" t="s">
        <v>842</v>
      </c>
      <c r="JX415">
        <v>0</v>
      </c>
      <c r="JY415">
        <v>100</v>
      </c>
      <c r="JZ415" t="s">
        <v>796</v>
      </c>
      <c r="KA415" t="s">
        <v>198</v>
      </c>
      <c r="KB415" t="s">
        <v>738</v>
      </c>
      <c r="KC415" t="s">
        <v>1067</v>
      </c>
      <c r="KD415" s="1">
        <v>0.01</v>
      </c>
      <c r="KE415" s="1">
        <v>0.01</v>
      </c>
      <c r="KF415" t="s">
        <v>842</v>
      </c>
      <c r="KG415">
        <v>0</v>
      </c>
      <c r="KH415">
        <v>100</v>
      </c>
      <c r="KI415" t="s">
        <v>796</v>
      </c>
      <c r="KJ415" t="s">
        <v>198</v>
      </c>
      <c r="KK415" t="s">
        <v>738</v>
      </c>
    </row>
    <row r="416" spans="1:297" x14ac:dyDescent="0.2">
      <c r="A416">
        <v>384</v>
      </c>
      <c r="B416" t="s">
        <v>705</v>
      </c>
      <c r="C416" t="s">
        <v>17</v>
      </c>
      <c r="D416" t="s">
        <v>478</v>
      </c>
      <c r="E416">
        <v>69</v>
      </c>
      <c r="F416" t="s">
        <v>479</v>
      </c>
      <c r="G416" t="s">
        <v>1</v>
      </c>
      <c r="H416" s="26" t="s">
        <v>1420</v>
      </c>
      <c r="I416" t="s">
        <v>1</v>
      </c>
      <c r="J416" t="s">
        <v>1</v>
      </c>
      <c r="K416" t="s">
        <v>1</v>
      </c>
      <c r="L416" t="s">
        <v>1</v>
      </c>
      <c r="M416" t="s">
        <v>1</v>
      </c>
      <c r="N416" t="s">
        <v>1</v>
      </c>
      <c r="O416" t="s">
        <v>1</v>
      </c>
      <c r="P416" t="s">
        <v>1</v>
      </c>
      <c r="Q416" t="s">
        <v>1</v>
      </c>
      <c r="R416" t="s">
        <v>1</v>
      </c>
      <c r="S416" t="s">
        <v>1</v>
      </c>
      <c r="T416" t="s">
        <v>1</v>
      </c>
      <c r="U416" t="s">
        <v>1</v>
      </c>
      <c r="V416" t="s">
        <v>1</v>
      </c>
      <c r="W416" t="s">
        <v>1</v>
      </c>
      <c r="X416" t="s">
        <v>1</v>
      </c>
      <c r="Y416" t="s">
        <v>1</v>
      </c>
      <c r="Z416" t="s">
        <v>1</v>
      </c>
      <c r="AA416" t="s">
        <v>1</v>
      </c>
      <c r="AB416" t="s">
        <v>1</v>
      </c>
      <c r="AC416" t="s">
        <v>1</v>
      </c>
      <c r="AD416" t="s">
        <v>1</v>
      </c>
      <c r="AE416" t="s">
        <v>1</v>
      </c>
      <c r="AF416" t="s">
        <v>1</v>
      </c>
      <c r="AG416" t="s">
        <v>1</v>
      </c>
      <c r="AH416" t="s">
        <v>1</v>
      </c>
      <c r="AI416" t="s">
        <v>1</v>
      </c>
      <c r="AJ416" t="s">
        <v>1</v>
      </c>
      <c r="AK416" t="s">
        <v>1</v>
      </c>
      <c r="AL416" t="s">
        <v>1</v>
      </c>
      <c r="AM416" t="s">
        <v>1</v>
      </c>
      <c r="AN416">
        <v>384</v>
      </c>
      <c r="AO416">
        <f t="shared" si="54"/>
        <v>384</v>
      </c>
      <c r="AP416">
        <f t="shared" si="55"/>
        <v>69</v>
      </c>
      <c r="AQ416">
        <f t="shared" si="57"/>
        <v>69</v>
      </c>
      <c r="AR416" s="26" t="s">
        <v>1355</v>
      </c>
      <c r="AS416" s="26" t="s">
        <v>1356</v>
      </c>
      <c r="AT416" t="s">
        <v>710</v>
      </c>
      <c r="AU416" t="s">
        <v>1</v>
      </c>
      <c r="AV416" t="s">
        <v>1</v>
      </c>
      <c r="AW416">
        <v>31.53</v>
      </c>
      <c r="AX416">
        <v>120.7</v>
      </c>
      <c r="AY416" t="s">
        <v>737</v>
      </c>
      <c r="BA416" s="3">
        <v>3</v>
      </c>
      <c r="BB416" s="3"/>
      <c r="BC416" s="3"/>
      <c r="BD416" s="3"/>
      <c r="BE416" s="3"/>
      <c r="BF416">
        <v>2005</v>
      </c>
      <c r="BG416" s="24" t="s">
        <v>733</v>
      </c>
      <c r="BH416" s="24" t="s">
        <v>733</v>
      </c>
      <c r="BI416" s="24" t="s">
        <v>733</v>
      </c>
      <c r="BJ416" s="24" t="s">
        <v>732</v>
      </c>
      <c r="BK416" s="24" t="s">
        <v>733</v>
      </c>
      <c r="BL416" s="25" t="s">
        <v>733</v>
      </c>
      <c r="BM416" s="24" t="s">
        <v>733</v>
      </c>
      <c r="BN416" s="24" t="s">
        <v>732</v>
      </c>
      <c r="BO416" s="24" t="s">
        <v>733</v>
      </c>
      <c r="BP416" s="24" t="s">
        <v>733</v>
      </c>
      <c r="BQ416" s="24" t="s">
        <v>945</v>
      </c>
      <c r="BR416" s="24" t="s">
        <v>945</v>
      </c>
      <c r="BS416" s="25" t="s">
        <v>934</v>
      </c>
      <c r="BT416" s="24" t="s">
        <v>934</v>
      </c>
      <c r="BU416" s="24" t="s">
        <v>934</v>
      </c>
      <c r="BV416" s="24" t="s">
        <v>934</v>
      </c>
      <c r="BW416" s="24" t="s">
        <v>934</v>
      </c>
      <c r="BX416" s="24" t="s">
        <v>934</v>
      </c>
      <c r="BY416" s="25" t="s">
        <v>945</v>
      </c>
      <c r="BZ416" t="s">
        <v>1410</v>
      </c>
      <c r="CB416" t="s">
        <v>118</v>
      </c>
      <c r="CC416" s="4">
        <v>5900</v>
      </c>
      <c r="CD416" s="4"/>
      <c r="CE416" s="4"/>
      <c r="CF416" t="s">
        <v>793</v>
      </c>
      <c r="CG416">
        <v>100</v>
      </c>
      <c r="CH416" t="s">
        <v>805</v>
      </c>
      <c r="CI416" s="28">
        <v>0.5</v>
      </c>
      <c r="CJ416" s="10" t="s">
        <v>1442</v>
      </c>
      <c r="CK416" s="9" t="s">
        <v>1</v>
      </c>
      <c r="CL416" s="4" t="s">
        <v>1</v>
      </c>
      <c r="CM416" t="s">
        <v>847</v>
      </c>
      <c r="CN416" s="4">
        <v>99</v>
      </c>
      <c r="CO416" s="4" t="s">
        <v>1</v>
      </c>
      <c r="CP416" s="4" t="s">
        <v>1</v>
      </c>
      <c r="CQ416" s="4" t="s">
        <v>1</v>
      </c>
      <c r="CR416" s="4" t="s">
        <v>1</v>
      </c>
      <c r="CS416" s="4" t="s">
        <v>1</v>
      </c>
      <c r="CT416" s="4" t="s">
        <v>1</v>
      </c>
      <c r="CU416" s="4" t="s">
        <v>1</v>
      </c>
      <c r="CV416" s="38" t="s">
        <v>1068</v>
      </c>
      <c r="CW416">
        <v>100</v>
      </c>
      <c r="CX416">
        <v>0</v>
      </c>
      <c r="CY416">
        <v>15</v>
      </c>
      <c r="CZ416" s="26" t="s">
        <v>1358</v>
      </c>
      <c r="DA416" t="s">
        <v>734</v>
      </c>
      <c r="DB416">
        <v>10.4</v>
      </c>
      <c r="DC416">
        <v>0</v>
      </c>
      <c r="DD416">
        <v>15</v>
      </c>
      <c r="DE416" s="26" t="s">
        <v>1358</v>
      </c>
      <c r="DF416" t="s">
        <v>735</v>
      </c>
      <c r="DG416">
        <v>68.599999999999994</v>
      </c>
      <c r="DH416">
        <v>0</v>
      </c>
      <c r="DI416">
        <v>15</v>
      </c>
      <c r="DJ416" s="26" t="s">
        <v>1358</v>
      </c>
      <c r="DK416" t="s">
        <v>736</v>
      </c>
      <c r="DL416">
        <v>21</v>
      </c>
      <c r="DM416">
        <v>0</v>
      </c>
      <c r="DN416">
        <v>15</v>
      </c>
      <c r="DO416" s="26" t="s">
        <v>1358</v>
      </c>
      <c r="DP416" t="s">
        <v>6</v>
      </c>
      <c r="DQ416" t="s">
        <v>813</v>
      </c>
      <c r="DR416">
        <v>6.1</v>
      </c>
      <c r="DS416">
        <v>0</v>
      </c>
      <c r="DT416">
        <v>15</v>
      </c>
      <c r="DU416" s="26" t="s">
        <v>1358</v>
      </c>
      <c r="EA416" t="s">
        <v>982</v>
      </c>
      <c r="EB416">
        <v>16.100000000000001</v>
      </c>
      <c r="EC416">
        <v>0</v>
      </c>
      <c r="ED416">
        <v>15</v>
      </c>
      <c r="EE416" s="26" t="s">
        <v>1358</v>
      </c>
      <c r="EF416" s="26"/>
      <c r="FZ416" t="s">
        <v>806</v>
      </c>
      <c r="GA416">
        <v>421</v>
      </c>
      <c r="GE416" s="26" t="s">
        <v>1358</v>
      </c>
      <c r="HA416" s="5" t="s">
        <v>1069</v>
      </c>
      <c r="HB416" s="4">
        <v>15</v>
      </c>
      <c r="HC416">
        <v>0</v>
      </c>
      <c r="HD416">
        <v>15</v>
      </c>
      <c r="HE416" s="26" t="s">
        <v>1358</v>
      </c>
      <c r="HF416" s="5" t="s">
        <v>1063</v>
      </c>
      <c r="HG416" s="4">
        <v>1.81</v>
      </c>
      <c r="HH416">
        <v>0</v>
      </c>
      <c r="HI416">
        <v>15</v>
      </c>
      <c r="HJ416" s="26" t="s">
        <v>1358</v>
      </c>
      <c r="HK416" t="s">
        <v>1</v>
      </c>
      <c r="HL416" t="s">
        <v>1</v>
      </c>
      <c r="HM416" t="s">
        <v>1</v>
      </c>
      <c r="HN416" t="s">
        <v>1</v>
      </c>
      <c r="HO416" t="s">
        <v>1</v>
      </c>
      <c r="HP416" t="s">
        <v>1</v>
      </c>
      <c r="HZ416" t="s">
        <v>969</v>
      </c>
      <c r="IA416">
        <v>100</v>
      </c>
      <c r="IB416" s="10" t="s">
        <v>1</v>
      </c>
      <c r="IC416" s="10"/>
      <c r="ID416" s="10"/>
      <c r="IE416" s="10" t="s">
        <v>1</v>
      </c>
      <c r="IF416" s="10" t="s">
        <v>1</v>
      </c>
      <c r="IG416" s="10"/>
      <c r="IH416" s="10"/>
      <c r="II416" s="10"/>
      <c r="IJ416" s="10"/>
      <c r="IK416" s="10"/>
      <c r="IL416" s="10"/>
      <c r="IM416" s="10"/>
      <c r="IN416" s="10"/>
      <c r="IO416" s="10"/>
      <c r="IP416" s="10"/>
      <c r="IQ416" s="10"/>
      <c r="IR416" s="10"/>
      <c r="IS416" t="s">
        <v>1</v>
      </c>
      <c r="IT416" t="s">
        <v>1</v>
      </c>
      <c r="IW416" t="s">
        <v>1</v>
      </c>
      <c r="IX416" t="s">
        <v>1</v>
      </c>
      <c r="IY416" t="s">
        <v>808</v>
      </c>
      <c r="IZ416">
        <v>6500</v>
      </c>
      <c r="JA416" t="s">
        <v>1</v>
      </c>
      <c r="JB416" s="3" t="s">
        <v>1</v>
      </c>
      <c r="JC416" t="s">
        <v>1</v>
      </c>
      <c r="JD416" s="4" t="s">
        <v>1</v>
      </c>
      <c r="JE416" t="s">
        <v>1</v>
      </c>
      <c r="JF416" t="s">
        <v>1</v>
      </c>
      <c r="JR416" t="s">
        <v>1066</v>
      </c>
      <c r="JS416">
        <v>1.3</v>
      </c>
      <c r="JU416" t="s">
        <v>1</v>
      </c>
      <c r="JW416" t="s">
        <v>842</v>
      </c>
      <c r="JX416">
        <v>0</v>
      </c>
      <c r="JY416">
        <v>100</v>
      </c>
      <c r="JZ416" t="s">
        <v>796</v>
      </c>
      <c r="KA416" t="s">
        <v>198</v>
      </c>
      <c r="KB416" t="s">
        <v>738</v>
      </c>
      <c r="KC416" t="s">
        <v>1067</v>
      </c>
      <c r="KD416" s="1">
        <v>0.05</v>
      </c>
      <c r="KE416" s="1">
        <v>0.01</v>
      </c>
      <c r="KF416" t="s">
        <v>842</v>
      </c>
      <c r="KG416">
        <v>0</v>
      </c>
      <c r="KH416">
        <v>100</v>
      </c>
      <c r="KI416" t="s">
        <v>796</v>
      </c>
      <c r="KJ416" t="s">
        <v>198</v>
      </c>
      <c r="KK416" t="s">
        <v>738</v>
      </c>
    </row>
    <row r="417" spans="1:297" x14ac:dyDescent="0.2">
      <c r="A417">
        <v>385</v>
      </c>
      <c r="B417" t="s">
        <v>705</v>
      </c>
      <c r="C417" t="s">
        <v>263</v>
      </c>
      <c r="D417" t="s">
        <v>478</v>
      </c>
      <c r="E417">
        <v>69</v>
      </c>
      <c r="F417" t="s">
        <v>479</v>
      </c>
      <c r="G417" t="s">
        <v>1</v>
      </c>
      <c r="H417" s="26" t="s">
        <v>1420</v>
      </c>
      <c r="I417" t="s">
        <v>1</v>
      </c>
      <c r="J417" t="s">
        <v>1</v>
      </c>
      <c r="K417" t="s">
        <v>1</v>
      </c>
      <c r="L417" t="s">
        <v>1</v>
      </c>
      <c r="M417" t="s">
        <v>1</v>
      </c>
      <c r="N417" t="s">
        <v>1</v>
      </c>
      <c r="O417" t="s">
        <v>1</v>
      </c>
      <c r="P417" t="s">
        <v>1</v>
      </c>
      <c r="Q417" t="s">
        <v>1</v>
      </c>
      <c r="R417" t="s">
        <v>1</v>
      </c>
      <c r="S417" t="s">
        <v>1</v>
      </c>
      <c r="T417" t="s">
        <v>1</v>
      </c>
      <c r="U417" t="s">
        <v>1</v>
      </c>
      <c r="V417" t="s">
        <v>1</v>
      </c>
      <c r="W417" t="s">
        <v>1</v>
      </c>
      <c r="X417" t="s">
        <v>1</v>
      </c>
      <c r="Y417" t="s">
        <v>1</v>
      </c>
      <c r="Z417" t="s">
        <v>1</v>
      </c>
      <c r="AA417" t="s">
        <v>1</v>
      </c>
      <c r="AB417" t="s">
        <v>1</v>
      </c>
      <c r="AC417" t="s">
        <v>1</v>
      </c>
      <c r="AD417" t="s">
        <v>1</v>
      </c>
      <c r="AE417" t="s">
        <v>1</v>
      </c>
      <c r="AF417" t="s">
        <v>1</v>
      </c>
      <c r="AG417" t="s">
        <v>1</v>
      </c>
      <c r="AH417" t="s">
        <v>1</v>
      </c>
      <c r="AI417" t="s">
        <v>1</v>
      </c>
      <c r="AJ417" t="s">
        <v>1</v>
      </c>
      <c r="AK417" t="s">
        <v>1</v>
      </c>
      <c r="AL417" t="s">
        <v>1</v>
      </c>
      <c r="AM417" t="s">
        <v>1</v>
      </c>
      <c r="AN417">
        <v>385</v>
      </c>
      <c r="AO417">
        <f t="shared" si="54"/>
        <v>385</v>
      </c>
      <c r="AP417">
        <f t="shared" si="55"/>
        <v>69</v>
      </c>
      <c r="AQ417">
        <f t="shared" si="57"/>
        <v>69</v>
      </c>
      <c r="AR417" s="26" t="s">
        <v>1355</v>
      </c>
      <c r="AS417" s="26" t="s">
        <v>1356</v>
      </c>
      <c r="AT417" t="s">
        <v>710</v>
      </c>
      <c r="AU417" t="s">
        <v>1</v>
      </c>
      <c r="AV417" t="s">
        <v>1</v>
      </c>
      <c r="AW417">
        <v>31.53</v>
      </c>
      <c r="AX417">
        <v>120.7</v>
      </c>
      <c r="AY417" t="s">
        <v>737</v>
      </c>
      <c r="BA417" s="3">
        <v>3</v>
      </c>
      <c r="BB417" s="3"/>
      <c r="BC417" s="3"/>
      <c r="BD417" s="3"/>
      <c r="BE417" s="3"/>
      <c r="BF417">
        <v>2005</v>
      </c>
      <c r="BG417" s="24" t="s">
        <v>733</v>
      </c>
      <c r="BH417" s="24" t="s">
        <v>733</v>
      </c>
      <c r="BI417" s="24" t="s">
        <v>733</v>
      </c>
      <c r="BJ417" s="24" t="s">
        <v>732</v>
      </c>
      <c r="BK417" s="24" t="s">
        <v>733</v>
      </c>
      <c r="BL417" s="25" t="s">
        <v>733</v>
      </c>
      <c r="BM417" s="24" t="s">
        <v>733</v>
      </c>
      <c r="BN417" s="24" t="s">
        <v>732</v>
      </c>
      <c r="BO417" s="24" t="s">
        <v>733</v>
      </c>
      <c r="BP417" s="24" t="s">
        <v>733</v>
      </c>
      <c r="BQ417" s="24" t="s">
        <v>945</v>
      </c>
      <c r="BR417" s="24" t="s">
        <v>945</v>
      </c>
      <c r="BS417" s="25" t="s">
        <v>934</v>
      </c>
      <c r="BT417" s="24" t="s">
        <v>934</v>
      </c>
      <c r="BU417" s="24" t="s">
        <v>934</v>
      </c>
      <c r="BV417" s="24" t="s">
        <v>934</v>
      </c>
      <c r="BW417" s="24" t="s">
        <v>934</v>
      </c>
      <c r="BX417" s="24" t="s">
        <v>934</v>
      </c>
      <c r="BY417" s="25" t="s">
        <v>945</v>
      </c>
      <c r="BZ417" t="s">
        <v>1410</v>
      </c>
      <c r="CB417" t="s">
        <v>118</v>
      </c>
      <c r="CC417" s="4">
        <v>7093</v>
      </c>
      <c r="CD417" s="4"/>
      <c r="CE417" s="4"/>
      <c r="CF417" t="s">
        <v>793</v>
      </c>
      <c r="CG417">
        <v>100</v>
      </c>
      <c r="CH417" t="s">
        <v>805</v>
      </c>
      <c r="CI417" s="28">
        <v>0.5</v>
      </c>
      <c r="CJ417" s="10" t="s">
        <v>1442</v>
      </c>
      <c r="CK417" s="9" t="s">
        <v>1</v>
      </c>
      <c r="CL417" s="4" t="s">
        <v>1</v>
      </c>
      <c r="CM417" t="s">
        <v>847</v>
      </c>
      <c r="CN417" s="4">
        <v>144</v>
      </c>
      <c r="CO417" s="4" t="s">
        <v>1</v>
      </c>
      <c r="CP417" s="4" t="s">
        <v>1</v>
      </c>
      <c r="CQ417" s="4" t="s">
        <v>1</v>
      </c>
      <c r="CR417" s="4" t="s">
        <v>1</v>
      </c>
      <c r="CS417" s="4" t="s">
        <v>1</v>
      </c>
      <c r="CT417" s="4" t="s">
        <v>1</v>
      </c>
      <c r="CU417" s="4" t="s">
        <v>1</v>
      </c>
      <c r="CV417" s="38" t="s">
        <v>1068</v>
      </c>
      <c r="CW417">
        <v>100</v>
      </c>
      <c r="CX417">
        <v>0</v>
      </c>
      <c r="CY417">
        <v>15</v>
      </c>
      <c r="CZ417" s="26" t="s">
        <v>1358</v>
      </c>
      <c r="DA417" t="s">
        <v>734</v>
      </c>
      <c r="DB417">
        <v>10.4</v>
      </c>
      <c r="DC417">
        <v>0</v>
      </c>
      <c r="DD417">
        <v>15</v>
      </c>
      <c r="DE417" s="26" t="s">
        <v>1358</v>
      </c>
      <c r="DF417" t="s">
        <v>735</v>
      </c>
      <c r="DG417">
        <v>68.599999999999994</v>
      </c>
      <c r="DH417">
        <v>0</v>
      </c>
      <c r="DI417">
        <v>15</v>
      </c>
      <c r="DJ417" s="26" t="s">
        <v>1358</v>
      </c>
      <c r="DK417" t="s">
        <v>736</v>
      </c>
      <c r="DL417">
        <v>21</v>
      </c>
      <c r="DM417">
        <v>0</v>
      </c>
      <c r="DN417">
        <v>15</v>
      </c>
      <c r="DO417" s="26" t="s">
        <v>1358</v>
      </c>
      <c r="DP417" t="s">
        <v>6</v>
      </c>
      <c r="DQ417" t="s">
        <v>813</v>
      </c>
      <c r="DR417">
        <v>6.1</v>
      </c>
      <c r="DS417">
        <v>0</v>
      </c>
      <c r="DT417">
        <v>15</v>
      </c>
      <c r="DU417" s="26" t="s">
        <v>1358</v>
      </c>
      <c r="EA417" t="s">
        <v>982</v>
      </c>
      <c r="EB417">
        <v>16.100000000000001</v>
      </c>
      <c r="EC417">
        <v>0</v>
      </c>
      <c r="ED417">
        <v>15</v>
      </c>
      <c r="EE417" s="26" t="s">
        <v>1358</v>
      </c>
      <c r="EF417" s="26"/>
      <c r="FZ417" t="s">
        <v>806</v>
      </c>
      <c r="GA417">
        <v>421</v>
      </c>
      <c r="GE417" s="26" t="s">
        <v>1358</v>
      </c>
      <c r="HA417" s="5" t="s">
        <v>1069</v>
      </c>
      <c r="HB417" s="4">
        <v>15</v>
      </c>
      <c r="HC417">
        <v>0</v>
      </c>
      <c r="HD417">
        <v>15</v>
      </c>
      <c r="HE417" s="26" t="s">
        <v>1358</v>
      </c>
      <c r="HF417" s="5" t="s">
        <v>1063</v>
      </c>
      <c r="HG417" s="4">
        <v>1.81</v>
      </c>
      <c r="HH417">
        <v>0</v>
      </c>
      <c r="HI417">
        <v>15</v>
      </c>
      <c r="HJ417" s="26" t="s">
        <v>1358</v>
      </c>
      <c r="HK417" t="s">
        <v>1</v>
      </c>
      <c r="HL417" t="s">
        <v>1</v>
      </c>
      <c r="HM417" t="s">
        <v>1</v>
      </c>
      <c r="HN417" t="s">
        <v>1</v>
      </c>
      <c r="HO417" t="s">
        <v>1</v>
      </c>
      <c r="HP417" t="s">
        <v>1</v>
      </c>
      <c r="HZ417" t="s">
        <v>969</v>
      </c>
      <c r="IA417">
        <v>200</v>
      </c>
      <c r="IB417" s="10" t="s">
        <v>1</v>
      </c>
      <c r="IC417" s="10"/>
      <c r="ID417" s="10"/>
      <c r="IE417" s="10" t="s">
        <v>1</v>
      </c>
      <c r="IF417" s="10" t="s">
        <v>1</v>
      </c>
      <c r="IG417" s="10"/>
      <c r="IH417" s="10"/>
      <c r="II417" s="10"/>
      <c r="IJ417" s="10"/>
      <c r="IK417" s="10"/>
      <c r="IL417" s="10"/>
      <c r="IM417" s="10"/>
      <c r="IN417" s="10"/>
      <c r="IO417" s="10"/>
      <c r="IP417" s="10"/>
      <c r="IQ417" s="10"/>
      <c r="IR417" s="10"/>
      <c r="IS417" t="s">
        <v>1</v>
      </c>
      <c r="IT417" t="s">
        <v>1</v>
      </c>
      <c r="IW417" t="s">
        <v>1</v>
      </c>
      <c r="IX417" t="s">
        <v>1</v>
      </c>
      <c r="IY417" t="s">
        <v>808</v>
      </c>
      <c r="IZ417">
        <v>6500</v>
      </c>
      <c r="JA417" t="s">
        <v>1</v>
      </c>
      <c r="JB417" s="3" t="s">
        <v>1</v>
      </c>
      <c r="JC417" t="s">
        <v>1</v>
      </c>
      <c r="JD417" s="4" t="s">
        <v>1</v>
      </c>
      <c r="JE417" t="s">
        <v>1</v>
      </c>
      <c r="JF417" t="s">
        <v>1</v>
      </c>
      <c r="JR417" t="s">
        <v>1066</v>
      </c>
      <c r="JS417">
        <v>1.7</v>
      </c>
      <c r="JU417" t="s">
        <v>1</v>
      </c>
      <c r="JW417" t="s">
        <v>1</v>
      </c>
      <c r="JX417">
        <v>0</v>
      </c>
      <c r="JY417">
        <v>100</v>
      </c>
      <c r="JZ417" t="s">
        <v>796</v>
      </c>
      <c r="KA417" t="s">
        <v>198</v>
      </c>
      <c r="KB417" t="s">
        <v>738</v>
      </c>
      <c r="KC417" t="s">
        <v>1067</v>
      </c>
      <c r="KD417" s="1">
        <v>0.112</v>
      </c>
      <c r="KE417" s="1" t="s">
        <v>1</v>
      </c>
      <c r="KF417" s="11" t="s">
        <v>1</v>
      </c>
      <c r="KG417">
        <v>0</v>
      </c>
      <c r="KH417">
        <v>100</v>
      </c>
      <c r="KI417" t="s">
        <v>796</v>
      </c>
      <c r="KJ417" t="s">
        <v>198</v>
      </c>
      <c r="KK417" t="s">
        <v>738</v>
      </c>
    </row>
    <row r="418" spans="1:297" x14ac:dyDescent="0.2">
      <c r="A418">
        <v>386</v>
      </c>
      <c r="B418" t="s">
        <v>705</v>
      </c>
      <c r="C418" t="s">
        <v>480</v>
      </c>
      <c r="D418" t="s">
        <v>478</v>
      </c>
      <c r="E418">
        <v>69</v>
      </c>
      <c r="F418" t="s">
        <v>479</v>
      </c>
      <c r="G418" t="s">
        <v>1</v>
      </c>
      <c r="H418" s="26" t="s">
        <v>1420</v>
      </c>
      <c r="I418" t="s">
        <v>1</v>
      </c>
      <c r="J418" t="s">
        <v>1</v>
      </c>
      <c r="K418" t="s">
        <v>1</v>
      </c>
      <c r="L418" t="s">
        <v>1</v>
      </c>
      <c r="M418" t="s">
        <v>1</v>
      </c>
      <c r="N418" t="s">
        <v>1</v>
      </c>
      <c r="O418" t="s">
        <v>1</v>
      </c>
      <c r="P418" t="s">
        <v>1</v>
      </c>
      <c r="Q418" t="s">
        <v>1</v>
      </c>
      <c r="R418" t="s">
        <v>1</v>
      </c>
      <c r="S418" t="s">
        <v>1</v>
      </c>
      <c r="T418" t="s">
        <v>1</v>
      </c>
      <c r="U418" t="s">
        <v>1</v>
      </c>
      <c r="V418" t="s">
        <v>1</v>
      </c>
      <c r="W418" t="s">
        <v>1</v>
      </c>
      <c r="X418" t="s">
        <v>1</v>
      </c>
      <c r="Y418" t="s">
        <v>1</v>
      </c>
      <c r="Z418" t="s">
        <v>1</v>
      </c>
      <c r="AA418" t="s">
        <v>1</v>
      </c>
      <c r="AB418" t="s">
        <v>1</v>
      </c>
      <c r="AC418" t="s">
        <v>1</v>
      </c>
      <c r="AD418" t="s">
        <v>1</v>
      </c>
      <c r="AE418" t="s">
        <v>1</v>
      </c>
      <c r="AF418" t="s">
        <v>1</v>
      </c>
      <c r="AG418" t="s">
        <v>1</v>
      </c>
      <c r="AH418" t="s">
        <v>1</v>
      </c>
      <c r="AI418" t="s">
        <v>1</v>
      </c>
      <c r="AJ418" t="s">
        <v>1</v>
      </c>
      <c r="AK418" t="s">
        <v>1</v>
      </c>
      <c r="AL418" t="s">
        <v>1</v>
      </c>
      <c r="AM418" t="s">
        <v>1</v>
      </c>
      <c r="AN418">
        <v>386</v>
      </c>
      <c r="AO418">
        <f t="shared" si="54"/>
        <v>386</v>
      </c>
      <c r="AP418">
        <f t="shared" si="55"/>
        <v>69</v>
      </c>
      <c r="AQ418">
        <f t="shared" si="57"/>
        <v>69</v>
      </c>
      <c r="AR418" s="26" t="s">
        <v>1355</v>
      </c>
      <c r="AS418" s="26" t="s">
        <v>1356</v>
      </c>
      <c r="AT418" t="s">
        <v>710</v>
      </c>
      <c r="AU418" t="s">
        <v>1</v>
      </c>
      <c r="AV418" t="s">
        <v>1</v>
      </c>
      <c r="AW418">
        <v>31.53</v>
      </c>
      <c r="AX418">
        <v>120.7</v>
      </c>
      <c r="AY418" t="s">
        <v>737</v>
      </c>
      <c r="BA418" s="3">
        <v>3</v>
      </c>
      <c r="BB418" s="3"/>
      <c r="BC418" s="3"/>
      <c r="BD418" s="3"/>
      <c r="BE418" s="3"/>
      <c r="BF418">
        <v>2005</v>
      </c>
      <c r="BG418" s="24" t="s">
        <v>733</v>
      </c>
      <c r="BH418" s="24" t="s">
        <v>733</v>
      </c>
      <c r="BI418" s="24" t="s">
        <v>733</v>
      </c>
      <c r="BJ418" s="24" t="s">
        <v>732</v>
      </c>
      <c r="BK418" s="24" t="s">
        <v>733</v>
      </c>
      <c r="BL418" s="25" t="s">
        <v>733</v>
      </c>
      <c r="BM418" s="24" t="s">
        <v>733</v>
      </c>
      <c r="BN418" s="24" t="s">
        <v>732</v>
      </c>
      <c r="BO418" s="24" t="s">
        <v>733</v>
      </c>
      <c r="BP418" s="24" t="s">
        <v>733</v>
      </c>
      <c r="BQ418" s="24" t="s">
        <v>945</v>
      </c>
      <c r="BR418" s="24" t="s">
        <v>945</v>
      </c>
      <c r="BS418" s="25" t="s">
        <v>934</v>
      </c>
      <c r="BT418" s="24" t="s">
        <v>934</v>
      </c>
      <c r="BU418" s="24" t="s">
        <v>934</v>
      </c>
      <c r="BV418" s="24" t="s">
        <v>934</v>
      </c>
      <c r="BW418" s="24" t="s">
        <v>934</v>
      </c>
      <c r="BX418" s="24" t="s">
        <v>934</v>
      </c>
      <c r="BY418" s="25" t="s">
        <v>945</v>
      </c>
      <c r="BZ418" t="s">
        <v>1410</v>
      </c>
      <c r="CB418" t="s">
        <v>118</v>
      </c>
      <c r="CC418" s="4">
        <v>7881</v>
      </c>
      <c r="CD418" s="4"/>
      <c r="CE418" s="4"/>
      <c r="CF418" t="s">
        <v>793</v>
      </c>
      <c r="CG418">
        <v>100</v>
      </c>
      <c r="CH418" t="s">
        <v>805</v>
      </c>
      <c r="CI418" s="28">
        <v>0.5</v>
      </c>
      <c r="CJ418" s="10" t="s">
        <v>1442</v>
      </c>
      <c r="CK418" s="9" t="s">
        <v>1</v>
      </c>
      <c r="CL418" s="4" t="s">
        <v>1</v>
      </c>
      <c r="CM418" t="s">
        <v>847</v>
      </c>
      <c r="CN418" s="4">
        <v>180</v>
      </c>
      <c r="CO418" s="4" t="s">
        <v>1</v>
      </c>
      <c r="CP418" s="4" t="s">
        <v>1</v>
      </c>
      <c r="CQ418" s="4" t="s">
        <v>1</v>
      </c>
      <c r="CR418" s="4" t="s">
        <v>1</v>
      </c>
      <c r="CS418" s="4" t="s">
        <v>1</v>
      </c>
      <c r="CT418" s="4" t="s">
        <v>1</v>
      </c>
      <c r="CU418" s="4" t="s">
        <v>1</v>
      </c>
      <c r="CV418" s="38" t="s">
        <v>1068</v>
      </c>
      <c r="CW418">
        <v>100</v>
      </c>
      <c r="CX418">
        <v>0</v>
      </c>
      <c r="CY418">
        <v>15</v>
      </c>
      <c r="CZ418" s="26" t="s">
        <v>1358</v>
      </c>
      <c r="DA418" t="s">
        <v>734</v>
      </c>
      <c r="DB418">
        <v>10.4</v>
      </c>
      <c r="DC418">
        <v>0</v>
      </c>
      <c r="DD418">
        <v>15</v>
      </c>
      <c r="DE418" s="26" t="s">
        <v>1358</v>
      </c>
      <c r="DF418" t="s">
        <v>735</v>
      </c>
      <c r="DG418">
        <v>68.599999999999994</v>
      </c>
      <c r="DH418">
        <v>0</v>
      </c>
      <c r="DI418">
        <v>15</v>
      </c>
      <c r="DJ418" s="26" t="s">
        <v>1358</v>
      </c>
      <c r="DK418" t="s">
        <v>736</v>
      </c>
      <c r="DL418">
        <v>21</v>
      </c>
      <c r="DM418">
        <v>0</v>
      </c>
      <c r="DN418">
        <v>15</v>
      </c>
      <c r="DO418" s="26" t="s">
        <v>1358</v>
      </c>
      <c r="DP418" t="s">
        <v>6</v>
      </c>
      <c r="DQ418" t="s">
        <v>813</v>
      </c>
      <c r="DR418">
        <v>6.1</v>
      </c>
      <c r="DS418">
        <v>0</v>
      </c>
      <c r="DT418">
        <v>15</v>
      </c>
      <c r="DU418" s="26" t="s">
        <v>1358</v>
      </c>
      <c r="EA418" t="s">
        <v>982</v>
      </c>
      <c r="EB418">
        <v>16.100000000000001</v>
      </c>
      <c r="EC418">
        <v>0</v>
      </c>
      <c r="ED418">
        <v>15</v>
      </c>
      <c r="EE418" s="26" t="s">
        <v>1358</v>
      </c>
      <c r="EF418" s="26"/>
      <c r="FZ418" t="s">
        <v>806</v>
      </c>
      <c r="GA418">
        <v>421</v>
      </c>
      <c r="GE418" s="26" t="s">
        <v>1358</v>
      </c>
      <c r="HA418" s="5" t="s">
        <v>1069</v>
      </c>
      <c r="HB418" s="4">
        <v>15</v>
      </c>
      <c r="HC418">
        <v>0</v>
      </c>
      <c r="HD418">
        <v>15</v>
      </c>
      <c r="HE418" s="26" t="s">
        <v>1358</v>
      </c>
      <c r="HF418" s="5" t="s">
        <v>1063</v>
      </c>
      <c r="HG418" s="4">
        <v>1.81</v>
      </c>
      <c r="HH418">
        <v>0</v>
      </c>
      <c r="HI418">
        <v>15</v>
      </c>
      <c r="HJ418" s="26" t="s">
        <v>1358</v>
      </c>
      <c r="HK418" t="s">
        <v>1</v>
      </c>
      <c r="HL418" t="s">
        <v>1</v>
      </c>
      <c r="HM418" t="s">
        <v>1</v>
      </c>
      <c r="HN418" t="s">
        <v>1</v>
      </c>
      <c r="HO418" t="s">
        <v>1</v>
      </c>
      <c r="HP418" t="s">
        <v>1</v>
      </c>
      <c r="HZ418" t="s">
        <v>969</v>
      </c>
      <c r="IA418">
        <v>300</v>
      </c>
      <c r="IB418" s="10" t="s">
        <v>1</v>
      </c>
      <c r="IC418" s="10"/>
      <c r="ID418" s="10"/>
      <c r="IE418" s="10" t="s">
        <v>1</v>
      </c>
      <c r="IF418" s="10" t="s">
        <v>1</v>
      </c>
      <c r="IG418" s="10"/>
      <c r="IH418" s="10"/>
      <c r="II418" s="10"/>
      <c r="IJ418" s="10"/>
      <c r="IK418" s="10"/>
      <c r="IL418" s="10"/>
      <c r="IM418" s="10"/>
      <c r="IN418" s="10"/>
      <c r="IO418" s="10"/>
      <c r="IP418" s="10"/>
      <c r="IQ418" s="10"/>
      <c r="IR418" s="10"/>
      <c r="IS418" t="s">
        <v>1</v>
      </c>
      <c r="IT418" t="s">
        <v>1</v>
      </c>
      <c r="IW418" t="s">
        <v>1</v>
      </c>
      <c r="IX418" t="s">
        <v>1</v>
      </c>
      <c r="IY418" t="s">
        <v>808</v>
      </c>
      <c r="IZ418">
        <v>6500</v>
      </c>
      <c r="JA418" t="s">
        <v>1</v>
      </c>
      <c r="JB418" s="3" t="s">
        <v>1</v>
      </c>
      <c r="JC418" t="s">
        <v>1</v>
      </c>
      <c r="JD418" s="4" t="s">
        <v>1</v>
      </c>
      <c r="JE418" t="s">
        <v>1</v>
      </c>
      <c r="JF418" t="s">
        <v>1</v>
      </c>
      <c r="JR418" t="s">
        <v>1066</v>
      </c>
      <c r="JS418">
        <v>2.1</v>
      </c>
      <c r="JU418" t="s">
        <v>1</v>
      </c>
      <c r="JW418" t="s">
        <v>842</v>
      </c>
      <c r="JX418">
        <v>0</v>
      </c>
      <c r="JY418">
        <v>100</v>
      </c>
      <c r="JZ418" t="s">
        <v>796</v>
      </c>
      <c r="KA418" t="s">
        <v>198</v>
      </c>
      <c r="KB418" t="s">
        <v>738</v>
      </c>
      <c r="KC418" t="s">
        <v>1067</v>
      </c>
      <c r="KD418" s="1">
        <v>0.19</v>
      </c>
      <c r="KE418" s="1">
        <v>0.03</v>
      </c>
      <c r="KF418" t="s">
        <v>842</v>
      </c>
      <c r="KG418">
        <v>0</v>
      </c>
      <c r="KH418">
        <v>100</v>
      </c>
      <c r="KI418" t="s">
        <v>796</v>
      </c>
      <c r="KJ418" t="s">
        <v>198</v>
      </c>
      <c r="KK418" t="s">
        <v>738</v>
      </c>
    </row>
    <row r="419" spans="1:297" x14ac:dyDescent="0.2">
      <c r="A419">
        <v>387</v>
      </c>
      <c r="B419" t="s">
        <v>705</v>
      </c>
      <c r="C419" t="s">
        <v>89</v>
      </c>
      <c r="D419" t="s">
        <v>478</v>
      </c>
      <c r="E419">
        <v>69</v>
      </c>
      <c r="F419" t="s">
        <v>479</v>
      </c>
      <c r="G419" t="s">
        <v>1</v>
      </c>
      <c r="H419" s="26" t="s">
        <v>1420</v>
      </c>
      <c r="I419" t="s">
        <v>1</v>
      </c>
      <c r="J419" t="s">
        <v>1</v>
      </c>
      <c r="K419" t="s">
        <v>1</v>
      </c>
      <c r="L419" t="s">
        <v>1</v>
      </c>
      <c r="M419" t="s">
        <v>1</v>
      </c>
      <c r="N419" t="s">
        <v>1</v>
      </c>
      <c r="O419" t="s">
        <v>1</v>
      </c>
      <c r="P419" t="s">
        <v>1</v>
      </c>
      <c r="Q419" t="s">
        <v>1</v>
      </c>
      <c r="R419" t="s">
        <v>1</v>
      </c>
      <c r="S419" t="s">
        <v>1</v>
      </c>
      <c r="T419" t="s">
        <v>1</v>
      </c>
      <c r="U419" t="s">
        <v>1</v>
      </c>
      <c r="V419" t="s">
        <v>1</v>
      </c>
      <c r="W419" t="s">
        <v>1</v>
      </c>
      <c r="X419" t="s">
        <v>1</v>
      </c>
      <c r="Y419" t="s">
        <v>1</v>
      </c>
      <c r="Z419" t="s">
        <v>1</v>
      </c>
      <c r="AA419" t="s">
        <v>1</v>
      </c>
      <c r="AB419" t="s">
        <v>1</v>
      </c>
      <c r="AC419" t="s">
        <v>1</v>
      </c>
      <c r="AD419" t="s">
        <v>1</v>
      </c>
      <c r="AE419" t="s">
        <v>1</v>
      </c>
      <c r="AF419" t="s">
        <v>1</v>
      </c>
      <c r="AG419" t="s">
        <v>1</v>
      </c>
      <c r="AH419" t="s">
        <v>1</v>
      </c>
      <c r="AI419" t="s">
        <v>1</v>
      </c>
      <c r="AJ419" t="s">
        <v>1</v>
      </c>
      <c r="AK419" t="s">
        <v>1</v>
      </c>
      <c r="AL419" t="s">
        <v>1</v>
      </c>
      <c r="AM419" t="s">
        <v>1</v>
      </c>
      <c r="AN419">
        <v>387</v>
      </c>
      <c r="AO419">
        <f t="shared" si="54"/>
        <v>387</v>
      </c>
      <c r="AP419">
        <f t="shared" si="55"/>
        <v>69</v>
      </c>
      <c r="AQ419">
        <f t="shared" si="57"/>
        <v>69</v>
      </c>
      <c r="AR419" s="26" t="s">
        <v>1355</v>
      </c>
      <c r="AS419" s="26" t="s">
        <v>1356</v>
      </c>
      <c r="AT419" t="s">
        <v>710</v>
      </c>
      <c r="AU419" t="s">
        <v>1</v>
      </c>
      <c r="AV419" t="s">
        <v>1</v>
      </c>
      <c r="AW419">
        <v>31.53</v>
      </c>
      <c r="AX419">
        <v>120.7</v>
      </c>
      <c r="AY419" t="s">
        <v>737</v>
      </c>
      <c r="BA419" s="3">
        <v>3</v>
      </c>
      <c r="BB419" s="3"/>
      <c r="BC419" s="3"/>
      <c r="BD419" s="3"/>
      <c r="BE419" s="3"/>
      <c r="BF419">
        <v>2004</v>
      </c>
      <c r="BG419" s="24" t="s">
        <v>733</v>
      </c>
      <c r="BH419" s="24" t="s">
        <v>733</v>
      </c>
      <c r="BI419" s="24" t="s">
        <v>733</v>
      </c>
      <c r="BJ419" s="24" t="s">
        <v>732</v>
      </c>
      <c r="BK419" s="24" t="s">
        <v>733</v>
      </c>
      <c r="BL419" s="25" t="s">
        <v>733</v>
      </c>
      <c r="BM419" s="24" t="s">
        <v>733</v>
      </c>
      <c r="BN419" s="24" t="s">
        <v>732</v>
      </c>
      <c r="BO419" s="24" t="s">
        <v>733</v>
      </c>
      <c r="BP419" s="24" t="s">
        <v>733</v>
      </c>
      <c r="BQ419" s="24" t="s">
        <v>945</v>
      </c>
      <c r="BR419" s="24" t="s">
        <v>945</v>
      </c>
      <c r="BS419" s="25" t="s">
        <v>934</v>
      </c>
      <c r="BT419" s="24" t="s">
        <v>934</v>
      </c>
      <c r="BU419" s="24" t="s">
        <v>934</v>
      </c>
      <c r="BV419" s="24" t="s">
        <v>934</v>
      </c>
      <c r="BW419" s="24" t="s">
        <v>934</v>
      </c>
      <c r="BX419" s="24" t="s">
        <v>934</v>
      </c>
      <c r="BY419" s="25" t="s">
        <v>945</v>
      </c>
      <c r="BZ419" t="s">
        <v>62</v>
      </c>
      <c r="CB419" t="s">
        <v>1</v>
      </c>
      <c r="CC419" s="4">
        <v>2100</v>
      </c>
      <c r="CD419" s="4"/>
      <c r="CE419" s="4"/>
      <c r="CF419" t="s">
        <v>793</v>
      </c>
      <c r="CG419">
        <v>100</v>
      </c>
      <c r="CH419" t="s">
        <v>805</v>
      </c>
      <c r="CI419" s="28">
        <v>1.7</v>
      </c>
      <c r="CJ419" s="10" t="s">
        <v>1442</v>
      </c>
      <c r="CK419" s="9" t="s">
        <v>1</v>
      </c>
      <c r="CL419" s="4" t="s">
        <v>1</v>
      </c>
      <c r="CM419" t="s">
        <v>847</v>
      </c>
      <c r="CN419" s="4">
        <v>38</v>
      </c>
      <c r="CO419" s="4" t="s">
        <v>1</v>
      </c>
      <c r="CP419" s="4" t="s">
        <v>1</v>
      </c>
      <c r="CQ419" s="4" t="s">
        <v>1</v>
      </c>
      <c r="CR419" s="4" t="s">
        <v>1</v>
      </c>
      <c r="CS419" s="4" t="s">
        <v>1</v>
      </c>
      <c r="CT419" s="4" t="s">
        <v>1</v>
      </c>
      <c r="CU419" s="4" t="s">
        <v>1</v>
      </c>
      <c r="CV419" s="38" t="s">
        <v>1068</v>
      </c>
      <c r="CW419">
        <v>100</v>
      </c>
      <c r="CX419">
        <v>0</v>
      </c>
      <c r="CY419">
        <v>15</v>
      </c>
      <c r="CZ419" s="26" t="s">
        <v>1358</v>
      </c>
      <c r="DA419" t="s">
        <v>734</v>
      </c>
      <c r="DB419">
        <v>10.4</v>
      </c>
      <c r="DC419">
        <v>0</v>
      </c>
      <c r="DD419">
        <v>15</v>
      </c>
      <c r="DE419" s="26" t="s">
        <v>1358</v>
      </c>
      <c r="DF419" t="s">
        <v>735</v>
      </c>
      <c r="DG419">
        <v>68.599999999999994</v>
      </c>
      <c r="DH419">
        <v>0</v>
      </c>
      <c r="DI419">
        <v>15</v>
      </c>
      <c r="DJ419" s="26" t="s">
        <v>1358</v>
      </c>
      <c r="DK419" t="s">
        <v>736</v>
      </c>
      <c r="DL419">
        <v>21</v>
      </c>
      <c r="DM419">
        <v>0</v>
      </c>
      <c r="DN419">
        <v>15</v>
      </c>
      <c r="DO419" s="26" t="s">
        <v>1358</v>
      </c>
      <c r="DP419" t="s">
        <v>6</v>
      </c>
      <c r="DQ419" t="s">
        <v>813</v>
      </c>
      <c r="DR419">
        <v>6.1</v>
      </c>
      <c r="DS419">
        <v>0</v>
      </c>
      <c r="DT419">
        <v>15</v>
      </c>
      <c r="DU419" s="26" t="s">
        <v>1358</v>
      </c>
      <c r="EA419" t="s">
        <v>982</v>
      </c>
      <c r="EB419">
        <v>16.100000000000001</v>
      </c>
      <c r="EC419">
        <v>0</v>
      </c>
      <c r="ED419">
        <v>15</v>
      </c>
      <c r="EE419" s="26" t="s">
        <v>1358</v>
      </c>
      <c r="EF419" s="26"/>
      <c r="FZ419" t="s">
        <v>806</v>
      </c>
      <c r="GA419">
        <v>591</v>
      </c>
      <c r="GE419" s="26" t="s">
        <v>1358</v>
      </c>
      <c r="HA419" s="5" t="s">
        <v>1069</v>
      </c>
      <c r="HB419" s="4">
        <v>15</v>
      </c>
      <c r="HC419">
        <v>0</v>
      </c>
      <c r="HD419">
        <v>15</v>
      </c>
      <c r="HE419" s="26" t="s">
        <v>1358</v>
      </c>
      <c r="HF419" s="5" t="s">
        <v>1063</v>
      </c>
      <c r="HG419" s="4">
        <v>1.81</v>
      </c>
      <c r="HH419">
        <v>0</v>
      </c>
      <c r="HI419">
        <v>15</v>
      </c>
      <c r="HJ419" s="26" t="s">
        <v>1358</v>
      </c>
      <c r="HK419" t="s">
        <v>1</v>
      </c>
      <c r="HL419" t="s">
        <v>1</v>
      </c>
      <c r="HM419" t="s">
        <v>1</v>
      </c>
      <c r="HN419" t="s">
        <v>1</v>
      </c>
      <c r="HO419" t="s">
        <v>1</v>
      </c>
      <c r="HP419" t="s">
        <v>1</v>
      </c>
      <c r="HZ419" t="s">
        <v>1</v>
      </c>
      <c r="IA419" t="s">
        <v>1</v>
      </c>
      <c r="IB419" s="10" t="s">
        <v>1</v>
      </c>
      <c r="IC419" s="10"/>
      <c r="ID419" s="10"/>
      <c r="IE419" s="10" t="s">
        <v>1</v>
      </c>
      <c r="IF419" s="10" t="s">
        <v>1</v>
      </c>
      <c r="IG419" s="10"/>
      <c r="IH419" s="10"/>
      <c r="II419" s="10"/>
      <c r="IJ419" s="10"/>
      <c r="IK419" s="10"/>
      <c r="IL419" s="10"/>
      <c r="IM419" s="10"/>
      <c r="IN419" s="10"/>
      <c r="IO419" s="10"/>
      <c r="IP419" s="10"/>
      <c r="IQ419" s="10"/>
      <c r="IR419" s="10"/>
      <c r="IS419" t="s">
        <v>1</v>
      </c>
      <c r="IT419" t="s">
        <v>1</v>
      </c>
      <c r="IW419" t="s">
        <v>1</v>
      </c>
      <c r="IX419" t="s">
        <v>1</v>
      </c>
      <c r="IY419" t="s">
        <v>1</v>
      </c>
      <c r="IZ419" t="s">
        <v>1</v>
      </c>
      <c r="JA419" t="s">
        <v>1</v>
      </c>
      <c r="JB419" s="3" t="s">
        <v>1</v>
      </c>
      <c r="JC419" t="s">
        <v>1</v>
      </c>
      <c r="JD419" s="4" t="s">
        <v>1</v>
      </c>
      <c r="JE419" t="s">
        <v>1</v>
      </c>
      <c r="JF419" t="s">
        <v>1</v>
      </c>
      <c r="JR419" t="s">
        <v>1066</v>
      </c>
      <c r="JS419">
        <v>1.6</v>
      </c>
      <c r="JU419" t="s">
        <v>1</v>
      </c>
      <c r="JW419" t="s">
        <v>842</v>
      </c>
      <c r="JX419">
        <v>0</v>
      </c>
      <c r="JY419">
        <v>100</v>
      </c>
      <c r="JZ419" t="s">
        <v>796</v>
      </c>
      <c r="KA419" t="s">
        <v>198</v>
      </c>
      <c r="KB419" t="s">
        <v>738</v>
      </c>
      <c r="KC419" t="s">
        <v>1067</v>
      </c>
      <c r="KD419" s="1">
        <v>0.06</v>
      </c>
      <c r="KE419" s="1">
        <v>0.01</v>
      </c>
      <c r="KF419" t="s">
        <v>842</v>
      </c>
      <c r="KG419">
        <v>0</v>
      </c>
      <c r="KH419">
        <v>100</v>
      </c>
      <c r="KI419" t="s">
        <v>796</v>
      </c>
      <c r="KJ419" t="s">
        <v>198</v>
      </c>
      <c r="KK419" t="s">
        <v>738</v>
      </c>
    </row>
    <row r="420" spans="1:297" x14ac:dyDescent="0.2">
      <c r="A420">
        <v>388</v>
      </c>
      <c r="B420" t="s">
        <v>705</v>
      </c>
      <c r="C420" t="s">
        <v>17</v>
      </c>
      <c r="D420" t="s">
        <v>478</v>
      </c>
      <c r="E420">
        <v>69</v>
      </c>
      <c r="F420" t="s">
        <v>479</v>
      </c>
      <c r="G420" t="s">
        <v>1</v>
      </c>
      <c r="H420" s="26" t="s">
        <v>1420</v>
      </c>
      <c r="I420" t="s">
        <v>1</v>
      </c>
      <c r="J420" t="s">
        <v>1</v>
      </c>
      <c r="K420" t="s">
        <v>1</v>
      </c>
      <c r="L420" t="s">
        <v>1</v>
      </c>
      <c r="M420" t="s">
        <v>1</v>
      </c>
      <c r="N420" t="s">
        <v>1</v>
      </c>
      <c r="O420" t="s">
        <v>1</v>
      </c>
      <c r="P420" t="s">
        <v>1</v>
      </c>
      <c r="Q420" t="s">
        <v>1</v>
      </c>
      <c r="R420" t="s">
        <v>1</v>
      </c>
      <c r="S420" t="s">
        <v>1</v>
      </c>
      <c r="T420" t="s">
        <v>1</v>
      </c>
      <c r="U420" t="s">
        <v>1</v>
      </c>
      <c r="V420" t="s">
        <v>1</v>
      </c>
      <c r="W420" t="s">
        <v>1</v>
      </c>
      <c r="X420" t="s">
        <v>1</v>
      </c>
      <c r="Y420" t="s">
        <v>1</v>
      </c>
      <c r="Z420" t="s">
        <v>1</v>
      </c>
      <c r="AA420" t="s">
        <v>1</v>
      </c>
      <c r="AB420" t="s">
        <v>1</v>
      </c>
      <c r="AC420" t="s">
        <v>1</v>
      </c>
      <c r="AD420" t="s">
        <v>1</v>
      </c>
      <c r="AE420" t="s">
        <v>1</v>
      </c>
      <c r="AF420" t="s">
        <v>1</v>
      </c>
      <c r="AG420" t="s">
        <v>1</v>
      </c>
      <c r="AH420" t="s">
        <v>1</v>
      </c>
      <c r="AI420" t="s">
        <v>1</v>
      </c>
      <c r="AJ420" t="s">
        <v>1</v>
      </c>
      <c r="AK420" t="s">
        <v>1</v>
      </c>
      <c r="AL420" t="s">
        <v>1</v>
      </c>
      <c r="AM420" t="s">
        <v>1</v>
      </c>
      <c r="AN420">
        <v>388</v>
      </c>
      <c r="AO420">
        <f t="shared" si="54"/>
        <v>388</v>
      </c>
      <c r="AP420">
        <f t="shared" si="55"/>
        <v>69</v>
      </c>
      <c r="AQ420">
        <f t="shared" si="57"/>
        <v>69</v>
      </c>
      <c r="AR420" s="26" t="s">
        <v>1355</v>
      </c>
      <c r="AS420" s="26" t="s">
        <v>1356</v>
      </c>
      <c r="AT420" t="s">
        <v>710</v>
      </c>
      <c r="AU420" t="s">
        <v>1</v>
      </c>
      <c r="AV420" t="s">
        <v>1</v>
      </c>
      <c r="AW420">
        <v>31.53</v>
      </c>
      <c r="AX420">
        <v>120.7</v>
      </c>
      <c r="AY420" t="s">
        <v>737</v>
      </c>
      <c r="BA420" s="3">
        <v>3</v>
      </c>
      <c r="BB420" s="3"/>
      <c r="BC420" s="3"/>
      <c r="BD420" s="3"/>
      <c r="BE420" s="3"/>
      <c r="BF420">
        <v>2004</v>
      </c>
      <c r="BG420" s="24" t="s">
        <v>733</v>
      </c>
      <c r="BH420" s="24" t="s">
        <v>733</v>
      </c>
      <c r="BI420" s="24" t="s">
        <v>733</v>
      </c>
      <c r="BJ420" s="24" t="s">
        <v>732</v>
      </c>
      <c r="BK420" s="24" t="s">
        <v>733</v>
      </c>
      <c r="BL420" s="25" t="s">
        <v>733</v>
      </c>
      <c r="BM420" s="24" t="s">
        <v>733</v>
      </c>
      <c r="BN420" s="24" t="s">
        <v>732</v>
      </c>
      <c r="BO420" s="24" t="s">
        <v>733</v>
      </c>
      <c r="BP420" s="24" t="s">
        <v>733</v>
      </c>
      <c r="BQ420" s="24" t="s">
        <v>945</v>
      </c>
      <c r="BR420" s="24" t="s">
        <v>945</v>
      </c>
      <c r="BS420" s="25" t="s">
        <v>934</v>
      </c>
      <c r="BT420" s="24" t="s">
        <v>934</v>
      </c>
      <c r="BU420" s="24" t="s">
        <v>934</v>
      </c>
      <c r="BV420" s="24" t="s">
        <v>934</v>
      </c>
      <c r="BW420" s="24" t="s">
        <v>934</v>
      </c>
      <c r="BX420" s="24" t="s">
        <v>934</v>
      </c>
      <c r="BY420" s="25" t="s">
        <v>945</v>
      </c>
      <c r="BZ420" t="s">
        <v>62</v>
      </c>
      <c r="CB420" t="s">
        <v>1</v>
      </c>
      <c r="CC420" s="4">
        <v>4000</v>
      </c>
      <c r="CD420" s="4"/>
      <c r="CE420" s="4"/>
      <c r="CF420" t="s">
        <v>793</v>
      </c>
      <c r="CG420">
        <v>100</v>
      </c>
      <c r="CH420" t="s">
        <v>805</v>
      </c>
      <c r="CI420" s="28">
        <v>1.7</v>
      </c>
      <c r="CJ420" s="10" t="s">
        <v>1442</v>
      </c>
      <c r="CK420" s="9" t="s">
        <v>1</v>
      </c>
      <c r="CL420" s="4" t="s">
        <v>1</v>
      </c>
      <c r="CM420" t="s">
        <v>847</v>
      </c>
      <c r="CN420" s="4">
        <v>92</v>
      </c>
      <c r="CO420" s="4" t="s">
        <v>1</v>
      </c>
      <c r="CP420" s="4" t="s">
        <v>1</v>
      </c>
      <c r="CQ420" s="4" t="s">
        <v>1</v>
      </c>
      <c r="CR420" s="4" t="s">
        <v>1</v>
      </c>
      <c r="CS420" s="4" t="s">
        <v>1</v>
      </c>
      <c r="CT420" s="4" t="s">
        <v>1</v>
      </c>
      <c r="CU420" s="4" t="s">
        <v>1</v>
      </c>
      <c r="CV420" s="38" t="s">
        <v>1068</v>
      </c>
      <c r="CW420">
        <v>100</v>
      </c>
      <c r="CX420">
        <v>0</v>
      </c>
      <c r="CY420">
        <v>15</v>
      </c>
      <c r="CZ420" s="26" t="s">
        <v>1358</v>
      </c>
      <c r="DA420" t="s">
        <v>734</v>
      </c>
      <c r="DB420">
        <v>10.4</v>
      </c>
      <c r="DC420">
        <v>0</v>
      </c>
      <c r="DD420">
        <v>15</v>
      </c>
      <c r="DE420" s="26" t="s">
        <v>1358</v>
      </c>
      <c r="DF420" t="s">
        <v>735</v>
      </c>
      <c r="DG420">
        <v>68.599999999999994</v>
      </c>
      <c r="DH420">
        <v>0</v>
      </c>
      <c r="DI420">
        <v>15</v>
      </c>
      <c r="DJ420" s="26" t="s">
        <v>1358</v>
      </c>
      <c r="DK420" t="s">
        <v>736</v>
      </c>
      <c r="DL420">
        <v>21</v>
      </c>
      <c r="DM420">
        <v>0</v>
      </c>
      <c r="DN420">
        <v>15</v>
      </c>
      <c r="DO420" s="26" t="s">
        <v>1358</v>
      </c>
      <c r="DP420" t="s">
        <v>6</v>
      </c>
      <c r="DQ420" t="s">
        <v>813</v>
      </c>
      <c r="DR420">
        <v>6.1</v>
      </c>
      <c r="DS420">
        <v>0</v>
      </c>
      <c r="DT420">
        <v>15</v>
      </c>
      <c r="DU420" s="26" t="s">
        <v>1358</v>
      </c>
      <c r="EA420" t="s">
        <v>982</v>
      </c>
      <c r="EB420">
        <v>16.100000000000001</v>
      </c>
      <c r="EC420">
        <v>0</v>
      </c>
      <c r="ED420">
        <v>15</v>
      </c>
      <c r="EE420" s="26" t="s">
        <v>1358</v>
      </c>
      <c r="EF420" s="26"/>
      <c r="FZ420" t="s">
        <v>806</v>
      </c>
      <c r="GA420">
        <v>591</v>
      </c>
      <c r="GE420" s="26" t="s">
        <v>1358</v>
      </c>
      <c r="HA420" s="5" t="s">
        <v>1069</v>
      </c>
      <c r="HB420" s="4">
        <v>15</v>
      </c>
      <c r="HC420">
        <v>0</v>
      </c>
      <c r="HD420">
        <v>15</v>
      </c>
      <c r="HE420" s="26" t="s">
        <v>1358</v>
      </c>
      <c r="HF420" s="5" t="s">
        <v>1063</v>
      </c>
      <c r="HG420" s="4">
        <v>1.81</v>
      </c>
      <c r="HH420">
        <v>0</v>
      </c>
      <c r="HI420">
        <v>15</v>
      </c>
      <c r="HJ420" s="26" t="s">
        <v>1358</v>
      </c>
      <c r="HK420" t="s">
        <v>1</v>
      </c>
      <c r="HL420" t="s">
        <v>1</v>
      </c>
      <c r="HM420" t="s">
        <v>1</v>
      </c>
      <c r="HN420" t="s">
        <v>1</v>
      </c>
      <c r="HO420" t="s">
        <v>1</v>
      </c>
      <c r="HP420" t="s">
        <v>1</v>
      </c>
      <c r="HZ420" t="s">
        <v>969</v>
      </c>
      <c r="IA420">
        <v>100</v>
      </c>
      <c r="IB420" s="10" t="s">
        <v>1</v>
      </c>
      <c r="IC420" s="10"/>
      <c r="ID420" s="10"/>
      <c r="IE420" s="10" t="s">
        <v>1</v>
      </c>
      <c r="IF420" s="10" t="s">
        <v>1</v>
      </c>
      <c r="IG420" s="10"/>
      <c r="IH420" s="10"/>
      <c r="II420" s="10"/>
      <c r="IJ420" s="10"/>
      <c r="IK420" s="10"/>
      <c r="IL420" s="10"/>
      <c r="IM420" s="10"/>
      <c r="IN420" s="10"/>
      <c r="IO420" s="10"/>
      <c r="IP420" s="10"/>
      <c r="IQ420" s="10"/>
      <c r="IR420" s="10"/>
      <c r="IS420" t="s">
        <v>1</v>
      </c>
      <c r="IT420" t="s">
        <v>1</v>
      </c>
      <c r="IW420" t="s">
        <v>1</v>
      </c>
      <c r="IX420" t="s">
        <v>1</v>
      </c>
      <c r="IY420" t="s">
        <v>1</v>
      </c>
      <c r="IZ420" t="s">
        <v>1</v>
      </c>
      <c r="JA420" t="s">
        <v>1</v>
      </c>
      <c r="JB420" s="3" t="s">
        <v>1</v>
      </c>
      <c r="JC420" t="s">
        <v>1</v>
      </c>
      <c r="JD420" s="4" t="s">
        <v>1</v>
      </c>
      <c r="JE420" t="s">
        <v>1</v>
      </c>
      <c r="JF420" t="s">
        <v>1</v>
      </c>
      <c r="JR420" t="s">
        <v>1066</v>
      </c>
      <c r="JS420">
        <v>12</v>
      </c>
      <c r="JU420" t="s">
        <v>1</v>
      </c>
      <c r="JW420" t="s">
        <v>842</v>
      </c>
      <c r="JX420">
        <v>0</v>
      </c>
      <c r="JY420">
        <v>100</v>
      </c>
      <c r="JZ420" t="s">
        <v>796</v>
      </c>
      <c r="KA420" t="s">
        <v>198</v>
      </c>
      <c r="KB420" t="s">
        <v>738</v>
      </c>
      <c r="KC420" t="s">
        <v>1067</v>
      </c>
      <c r="KD420" s="1">
        <v>0.09</v>
      </c>
      <c r="KE420" s="1">
        <v>0.05</v>
      </c>
      <c r="KF420" t="s">
        <v>842</v>
      </c>
      <c r="KG420">
        <v>0</v>
      </c>
      <c r="KH420">
        <v>100</v>
      </c>
      <c r="KI420" t="s">
        <v>796</v>
      </c>
      <c r="KJ420" t="s">
        <v>198</v>
      </c>
      <c r="KK420" t="s">
        <v>738</v>
      </c>
    </row>
    <row r="421" spans="1:297" x14ac:dyDescent="0.2">
      <c r="A421">
        <v>389</v>
      </c>
      <c r="B421" t="s">
        <v>705</v>
      </c>
      <c r="C421" t="s">
        <v>263</v>
      </c>
      <c r="D421" t="s">
        <v>478</v>
      </c>
      <c r="E421">
        <v>69</v>
      </c>
      <c r="F421" t="s">
        <v>479</v>
      </c>
      <c r="G421" t="s">
        <v>1</v>
      </c>
      <c r="H421" s="26" t="s">
        <v>1420</v>
      </c>
      <c r="I421" t="s">
        <v>1</v>
      </c>
      <c r="J421" t="s">
        <v>1</v>
      </c>
      <c r="K421" t="s">
        <v>1</v>
      </c>
      <c r="L421" t="s">
        <v>1</v>
      </c>
      <c r="M421" t="s">
        <v>1</v>
      </c>
      <c r="N421" t="s">
        <v>1</v>
      </c>
      <c r="O421" t="s">
        <v>1</v>
      </c>
      <c r="P421" t="s">
        <v>1</v>
      </c>
      <c r="Q421" t="s">
        <v>1</v>
      </c>
      <c r="R421" t="s">
        <v>1</v>
      </c>
      <c r="S421" t="s">
        <v>1</v>
      </c>
      <c r="T421" t="s">
        <v>1</v>
      </c>
      <c r="U421" t="s">
        <v>1</v>
      </c>
      <c r="V421" t="s">
        <v>1</v>
      </c>
      <c r="W421" t="s">
        <v>1</v>
      </c>
      <c r="X421" t="s">
        <v>1</v>
      </c>
      <c r="Y421" t="s">
        <v>1</v>
      </c>
      <c r="Z421" t="s">
        <v>1</v>
      </c>
      <c r="AA421" t="s">
        <v>1</v>
      </c>
      <c r="AB421" t="s">
        <v>1</v>
      </c>
      <c r="AC421" t="s">
        <v>1</v>
      </c>
      <c r="AD421" t="s">
        <v>1</v>
      </c>
      <c r="AE421" t="s">
        <v>1</v>
      </c>
      <c r="AF421" t="s">
        <v>1</v>
      </c>
      <c r="AG421" t="s">
        <v>1</v>
      </c>
      <c r="AH421" t="s">
        <v>1</v>
      </c>
      <c r="AI421" t="s">
        <v>1</v>
      </c>
      <c r="AJ421" t="s">
        <v>1</v>
      </c>
      <c r="AK421" t="s">
        <v>1</v>
      </c>
      <c r="AL421" t="s">
        <v>1</v>
      </c>
      <c r="AM421" t="s">
        <v>1</v>
      </c>
      <c r="AN421">
        <v>389</v>
      </c>
      <c r="AO421">
        <f t="shared" si="54"/>
        <v>389</v>
      </c>
      <c r="AP421">
        <f t="shared" si="55"/>
        <v>69</v>
      </c>
      <c r="AQ421">
        <f t="shared" si="57"/>
        <v>69</v>
      </c>
      <c r="AR421" s="26" t="s">
        <v>1355</v>
      </c>
      <c r="AS421" s="26" t="s">
        <v>1356</v>
      </c>
      <c r="AT421" t="s">
        <v>710</v>
      </c>
      <c r="AU421" t="s">
        <v>1</v>
      </c>
      <c r="AV421" t="s">
        <v>1</v>
      </c>
      <c r="AW421">
        <v>31.53</v>
      </c>
      <c r="AX421">
        <v>120.7</v>
      </c>
      <c r="AY421" t="s">
        <v>737</v>
      </c>
      <c r="BA421" s="3">
        <v>3</v>
      </c>
      <c r="BB421" s="3"/>
      <c r="BC421" s="3"/>
      <c r="BD421" s="3"/>
      <c r="BE421" s="3"/>
      <c r="BF421">
        <v>2004</v>
      </c>
      <c r="BG421" s="24" t="s">
        <v>733</v>
      </c>
      <c r="BH421" s="24" t="s">
        <v>733</v>
      </c>
      <c r="BI421" s="24" t="s">
        <v>733</v>
      </c>
      <c r="BJ421" s="24" t="s">
        <v>732</v>
      </c>
      <c r="BK421" s="24" t="s">
        <v>733</v>
      </c>
      <c r="BL421" s="25" t="s">
        <v>733</v>
      </c>
      <c r="BM421" s="24" t="s">
        <v>733</v>
      </c>
      <c r="BN421" s="24" t="s">
        <v>732</v>
      </c>
      <c r="BO421" s="24" t="s">
        <v>733</v>
      </c>
      <c r="BP421" s="24" t="s">
        <v>733</v>
      </c>
      <c r="BQ421" s="24" t="s">
        <v>945</v>
      </c>
      <c r="BR421" s="24" t="s">
        <v>945</v>
      </c>
      <c r="BS421" s="25" t="s">
        <v>934</v>
      </c>
      <c r="BT421" s="24" t="s">
        <v>934</v>
      </c>
      <c r="BU421" s="24" t="s">
        <v>934</v>
      </c>
      <c r="BV421" s="24" t="s">
        <v>934</v>
      </c>
      <c r="BW421" s="24" t="s">
        <v>934</v>
      </c>
      <c r="BX421" s="24" t="s">
        <v>934</v>
      </c>
      <c r="BY421" s="25" t="s">
        <v>945</v>
      </c>
      <c r="BZ421" t="s">
        <v>62</v>
      </c>
      <c r="CB421" t="s">
        <v>1</v>
      </c>
      <c r="CC421" s="4">
        <v>5800</v>
      </c>
      <c r="CD421" s="4"/>
      <c r="CE421" s="4"/>
      <c r="CF421" t="s">
        <v>793</v>
      </c>
      <c r="CG421">
        <v>100</v>
      </c>
      <c r="CH421" t="s">
        <v>805</v>
      </c>
      <c r="CI421" s="28">
        <v>1.7</v>
      </c>
      <c r="CJ421" s="10" t="s">
        <v>1442</v>
      </c>
      <c r="CK421" s="9" t="s">
        <v>1</v>
      </c>
      <c r="CL421" s="4" t="s">
        <v>1</v>
      </c>
      <c r="CM421" t="s">
        <v>847</v>
      </c>
      <c r="CN421" s="4">
        <v>139</v>
      </c>
      <c r="CO421" s="4" t="s">
        <v>1</v>
      </c>
      <c r="CP421" s="4" t="s">
        <v>1</v>
      </c>
      <c r="CQ421" s="4" t="s">
        <v>1</v>
      </c>
      <c r="CR421" s="4" t="s">
        <v>1</v>
      </c>
      <c r="CS421" s="4" t="s">
        <v>1</v>
      </c>
      <c r="CT421" s="4" t="s">
        <v>1</v>
      </c>
      <c r="CU421" s="4" t="s">
        <v>1</v>
      </c>
      <c r="CV421" s="38" t="s">
        <v>1068</v>
      </c>
      <c r="CW421">
        <v>100</v>
      </c>
      <c r="CX421">
        <v>0</v>
      </c>
      <c r="CY421">
        <v>15</v>
      </c>
      <c r="CZ421" s="26" t="s">
        <v>1358</v>
      </c>
      <c r="DA421" t="s">
        <v>734</v>
      </c>
      <c r="DB421">
        <v>10.4</v>
      </c>
      <c r="DC421">
        <v>0</v>
      </c>
      <c r="DD421">
        <v>15</v>
      </c>
      <c r="DE421" s="26" t="s">
        <v>1358</v>
      </c>
      <c r="DF421" t="s">
        <v>735</v>
      </c>
      <c r="DG421">
        <v>68.599999999999994</v>
      </c>
      <c r="DH421">
        <v>0</v>
      </c>
      <c r="DI421">
        <v>15</v>
      </c>
      <c r="DJ421" s="26" t="s">
        <v>1358</v>
      </c>
      <c r="DK421" t="s">
        <v>736</v>
      </c>
      <c r="DL421">
        <v>21</v>
      </c>
      <c r="DM421">
        <v>0</v>
      </c>
      <c r="DN421">
        <v>15</v>
      </c>
      <c r="DO421" s="26" t="s">
        <v>1358</v>
      </c>
      <c r="DP421" t="s">
        <v>6</v>
      </c>
      <c r="DQ421" t="s">
        <v>813</v>
      </c>
      <c r="DR421">
        <v>6.1</v>
      </c>
      <c r="DS421">
        <v>0</v>
      </c>
      <c r="DT421">
        <v>15</v>
      </c>
      <c r="DU421" s="26" t="s">
        <v>1358</v>
      </c>
      <c r="EA421" t="s">
        <v>982</v>
      </c>
      <c r="EB421">
        <v>16.100000000000001</v>
      </c>
      <c r="EC421">
        <v>0</v>
      </c>
      <c r="ED421">
        <v>15</v>
      </c>
      <c r="EE421" s="26" t="s">
        <v>1358</v>
      </c>
      <c r="EF421" s="26"/>
      <c r="FZ421" t="s">
        <v>806</v>
      </c>
      <c r="GA421">
        <v>591</v>
      </c>
      <c r="GE421" s="26" t="s">
        <v>1358</v>
      </c>
      <c r="HA421" s="5" t="s">
        <v>1069</v>
      </c>
      <c r="HB421" s="4">
        <v>15</v>
      </c>
      <c r="HC421">
        <v>0</v>
      </c>
      <c r="HD421">
        <v>15</v>
      </c>
      <c r="HE421" s="26" t="s">
        <v>1358</v>
      </c>
      <c r="HF421" s="5" t="s">
        <v>1063</v>
      </c>
      <c r="HG421" s="4">
        <v>1.81</v>
      </c>
      <c r="HH421">
        <v>0</v>
      </c>
      <c r="HI421">
        <v>15</v>
      </c>
      <c r="HJ421" s="26" t="s">
        <v>1358</v>
      </c>
      <c r="HK421" t="s">
        <v>1</v>
      </c>
      <c r="HL421" t="s">
        <v>1</v>
      </c>
      <c r="HM421" t="s">
        <v>1</v>
      </c>
      <c r="HN421" t="s">
        <v>1</v>
      </c>
      <c r="HO421" t="s">
        <v>1</v>
      </c>
      <c r="HP421" t="s">
        <v>1</v>
      </c>
      <c r="HZ421" t="s">
        <v>969</v>
      </c>
      <c r="IA421">
        <v>200</v>
      </c>
      <c r="IB421" s="10" t="s">
        <v>1</v>
      </c>
      <c r="IC421" s="10"/>
      <c r="ID421" s="10"/>
      <c r="IE421" s="10" t="s">
        <v>1</v>
      </c>
      <c r="IF421" s="10" t="s">
        <v>1</v>
      </c>
      <c r="IG421" s="10"/>
      <c r="IH421" s="10"/>
      <c r="II421" s="10"/>
      <c r="IJ421" s="10"/>
      <c r="IK421" s="10"/>
      <c r="IL421" s="10"/>
      <c r="IM421" s="10"/>
      <c r="IN421" s="10"/>
      <c r="IO421" s="10"/>
      <c r="IP421" s="10"/>
      <c r="IQ421" s="10"/>
      <c r="IR421" s="10"/>
      <c r="IS421" t="s">
        <v>1</v>
      </c>
      <c r="IT421" t="s">
        <v>1</v>
      </c>
      <c r="IW421" t="s">
        <v>1</v>
      </c>
      <c r="IX421" t="s">
        <v>1</v>
      </c>
      <c r="IY421" t="s">
        <v>1</v>
      </c>
      <c r="IZ421" t="s">
        <v>1</v>
      </c>
      <c r="JA421" t="s">
        <v>1</v>
      </c>
      <c r="JB421" s="3" t="s">
        <v>1</v>
      </c>
      <c r="JC421" t="s">
        <v>1</v>
      </c>
      <c r="JD421" s="4" t="s">
        <v>1</v>
      </c>
      <c r="JE421" t="s">
        <v>1</v>
      </c>
      <c r="JF421" t="s">
        <v>1</v>
      </c>
      <c r="JR421" t="s">
        <v>1066</v>
      </c>
      <c r="JS421">
        <v>18.3</v>
      </c>
      <c r="JU421" t="s">
        <v>1</v>
      </c>
      <c r="JW421" t="s">
        <v>1</v>
      </c>
      <c r="JX421">
        <v>0</v>
      </c>
      <c r="JY421">
        <v>100</v>
      </c>
      <c r="JZ421" t="s">
        <v>796</v>
      </c>
      <c r="KA421" t="s">
        <v>198</v>
      </c>
      <c r="KB421" t="s">
        <v>738</v>
      </c>
      <c r="KC421" t="s">
        <v>1067</v>
      </c>
      <c r="KD421" s="1">
        <v>0.122</v>
      </c>
      <c r="KE421" s="1" t="s">
        <v>1</v>
      </c>
      <c r="KF421" s="11" t="s">
        <v>1</v>
      </c>
      <c r="KG421">
        <v>0</v>
      </c>
      <c r="KH421">
        <v>100</v>
      </c>
      <c r="KI421" t="s">
        <v>796</v>
      </c>
      <c r="KJ421" t="s">
        <v>198</v>
      </c>
      <c r="KK421" t="s">
        <v>738</v>
      </c>
    </row>
    <row r="422" spans="1:297" x14ac:dyDescent="0.2">
      <c r="A422">
        <v>390</v>
      </c>
      <c r="B422" t="s">
        <v>705</v>
      </c>
      <c r="C422" t="s">
        <v>481</v>
      </c>
      <c r="D422" t="s">
        <v>478</v>
      </c>
      <c r="E422">
        <v>69</v>
      </c>
      <c r="F422" t="s">
        <v>479</v>
      </c>
      <c r="G422" t="s">
        <v>1</v>
      </c>
      <c r="H422" s="26" t="s">
        <v>1420</v>
      </c>
      <c r="I422" t="s">
        <v>1</v>
      </c>
      <c r="J422" t="s">
        <v>1</v>
      </c>
      <c r="K422" t="s">
        <v>1</v>
      </c>
      <c r="L422" t="s">
        <v>1</v>
      </c>
      <c r="M422" t="s">
        <v>1</v>
      </c>
      <c r="N422" t="s">
        <v>1</v>
      </c>
      <c r="O422" t="s">
        <v>1</v>
      </c>
      <c r="P422" t="s">
        <v>1</v>
      </c>
      <c r="Q422" t="s">
        <v>1</v>
      </c>
      <c r="R422" t="s">
        <v>1</v>
      </c>
      <c r="S422" t="s">
        <v>1</v>
      </c>
      <c r="T422" t="s">
        <v>1</v>
      </c>
      <c r="U422" t="s">
        <v>1</v>
      </c>
      <c r="V422" t="s">
        <v>1</v>
      </c>
      <c r="W422" t="s">
        <v>1</v>
      </c>
      <c r="X422" t="s">
        <v>1</v>
      </c>
      <c r="Y422" t="s">
        <v>1</v>
      </c>
      <c r="Z422" t="s">
        <v>1</v>
      </c>
      <c r="AA422" t="s">
        <v>1</v>
      </c>
      <c r="AB422" t="s">
        <v>1</v>
      </c>
      <c r="AC422" t="s">
        <v>1</v>
      </c>
      <c r="AD422" t="s">
        <v>1</v>
      </c>
      <c r="AE422" t="s">
        <v>1</v>
      </c>
      <c r="AF422" t="s">
        <v>1</v>
      </c>
      <c r="AG422" t="s">
        <v>1</v>
      </c>
      <c r="AH422" t="s">
        <v>1</v>
      </c>
      <c r="AI422" t="s">
        <v>1</v>
      </c>
      <c r="AJ422" t="s">
        <v>1</v>
      </c>
      <c r="AK422" t="s">
        <v>1</v>
      </c>
      <c r="AL422" t="s">
        <v>1</v>
      </c>
      <c r="AM422" t="s">
        <v>1</v>
      </c>
      <c r="AN422">
        <v>390</v>
      </c>
      <c r="AO422">
        <f t="shared" si="54"/>
        <v>390</v>
      </c>
      <c r="AP422">
        <f t="shared" si="55"/>
        <v>69</v>
      </c>
      <c r="AQ422">
        <f t="shared" si="57"/>
        <v>69</v>
      </c>
      <c r="AR422" s="26" t="s">
        <v>1355</v>
      </c>
      <c r="AS422" s="26" t="s">
        <v>1356</v>
      </c>
      <c r="AT422" t="s">
        <v>710</v>
      </c>
      <c r="AU422" t="s">
        <v>1</v>
      </c>
      <c r="AV422" t="s">
        <v>1</v>
      </c>
      <c r="AW422">
        <v>31.53</v>
      </c>
      <c r="AX422">
        <v>120.7</v>
      </c>
      <c r="AY422" t="s">
        <v>737</v>
      </c>
      <c r="BA422" s="3">
        <v>3</v>
      </c>
      <c r="BB422" s="3"/>
      <c r="BC422" s="3"/>
      <c r="BD422" s="3"/>
      <c r="BE422" s="3"/>
      <c r="BF422">
        <v>2004</v>
      </c>
      <c r="BG422" s="24" t="s">
        <v>733</v>
      </c>
      <c r="BH422" s="24" t="s">
        <v>733</v>
      </c>
      <c r="BI422" s="24" t="s">
        <v>733</v>
      </c>
      <c r="BJ422" s="24" t="s">
        <v>732</v>
      </c>
      <c r="BK422" s="24" t="s">
        <v>733</v>
      </c>
      <c r="BL422" s="25" t="s">
        <v>733</v>
      </c>
      <c r="BM422" s="24" t="s">
        <v>733</v>
      </c>
      <c r="BN422" s="24" t="s">
        <v>732</v>
      </c>
      <c r="BO422" s="24" t="s">
        <v>733</v>
      </c>
      <c r="BP422" s="24" t="s">
        <v>733</v>
      </c>
      <c r="BQ422" s="24" t="s">
        <v>945</v>
      </c>
      <c r="BR422" s="24" t="s">
        <v>945</v>
      </c>
      <c r="BS422" s="25" t="s">
        <v>934</v>
      </c>
      <c r="BT422" s="24" t="s">
        <v>934</v>
      </c>
      <c r="BU422" s="24" t="s">
        <v>934</v>
      </c>
      <c r="BV422" s="24" t="s">
        <v>934</v>
      </c>
      <c r="BW422" s="24" t="s">
        <v>934</v>
      </c>
      <c r="BX422" s="24" t="s">
        <v>934</v>
      </c>
      <c r="BY422" s="25" t="s">
        <v>945</v>
      </c>
      <c r="BZ422" t="s">
        <v>62</v>
      </c>
      <c r="CB422" t="s">
        <v>1</v>
      </c>
      <c r="CC422" s="4">
        <v>6000</v>
      </c>
      <c r="CD422" s="4"/>
      <c r="CE422" s="4"/>
      <c r="CF422" t="s">
        <v>793</v>
      </c>
      <c r="CG422">
        <v>100</v>
      </c>
      <c r="CH422" t="s">
        <v>805</v>
      </c>
      <c r="CI422" s="28">
        <v>1.7</v>
      </c>
      <c r="CJ422" s="10" t="s">
        <v>1442</v>
      </c>
      <c r="CK422" s="9" t="s">
        <v>1</v>
      </c>
      <c r="CL422" s="4" t="s">
        <v>1</v>
      </c>
      <c r="CM422" t="s">
        <v>847</v>
      </c>
      <c r="CN422" s="4">
        <v>161</v>
      </c>
      <c r="CO422" s="4" t="s">
        <v>1</v>
      </c>
      <c r="CP422" s="4" t="s">
        <v>1</v>
      </c>
      <c r="CQ422" s="4" t="s">
        <v>1</v>
      </c>
      <c r="CR422" s="4" t="s">
        <v>1</v>
      </c>
      <c r="CS422" s="4" t="s">
        <v>1</v>
      </c>
      <c r="CT422" s="4" t="s">
        <v>1</v>
      </c>
      <c r="CU422" s="4" t="s">
        <v>1</v>
      </c>
      <c r="CV422" s="38" t="s">
        <v>1068</v>
      </c>
      <c r="CW422">
        <v>100</v>
      </c>
      <c r="CX422">
        <v>0</v>
      </c>
      <c r="CY422">
        <v>15</v>
      </c>
      <c r="CZ422" s="26" t="s">
        <v>1358</v>
      </c>
      <c r="DA422" t="s">
        <v>734</v>
      </c>
      <c r="DB422">
        <v>10.4</v>
      </c>
      <c r="DC422">
        <v>0</v>
      </c>
      <c r="DD422">
        <v>15</v>
      </c>
      <c r="DE422" s="26" t="s">
        <v>1358</v>
      </c>
      <c r="DF422" t="s">
        <v>735</v>
      </c>
      <c r="DG422">
        <v>68.599999999999994</v>
      </c>
      <c r="DH422">
        <v>0</v>
      </c>
      <c r="DI422">
        <v>15</v>
      </c>
      <c r="DJ422" s="26" t="s">
        <v>1358</v>
      </c>
      <c r="DK422" t="s">
        <v>736</v>
      </c>
      <c r="DL422">
        <v>21</v>
      </c>
      <c r="DM422">
        <v>0</v>
      </c>
      <c r="DN422">
        <v>15</v>
      </c>
      <c r="DO422" s="26" t="s">
        <v>1358</v>
      </c>
      <c r="DP422" t="s">
        <v>6</v>
      </c>
      <c r="DQ422" t="s">
        <v>813</v>
      </c>
      <c r="DR422">
        <v>6.1</v>
      </c>
      <c r="DS422">
        <v>0</v>
      </c>
      <c r="DT422">
        <v>15</v>
      </c>
      <c r="DU422" s="26" t="s">
        <v>1358</v>
      </c>
      <c r="EA422" t="s">
        <v>982</v>
      </c>
      <c r="EB422">
        <v>16.100000000000001</v>
      </c>
      <c r="EC422">
        <v>0</v>
      </c>
      <c r="ED422">
        <v>15</v>
      </c>
      <c r="EE422" s="26" t="s">
        <v>1358</v>
      </c>
      <c r="EF422" s="26"/>
      <c r="FZ422" t="s">
        <v>806</v>
      </c>
      <c r="GA422">
        <v>591</v>
      </c>
      <c r="GE422" s="26" t="s">
        <v>1358</v>
      </c>
      <c r="HA422" s="5" t="s">
        <v>1069</v>
      </c>
      <c r="HB422" s="4">
        <v>15</v>
      </c>
      <c r="HC422">
        <v>0</v>
      </c>
      <c r="HD422">
        <v>15</v>
      </c>
      <c r="HE422" s="26" t="s">
        <v>1358</v>
      </c>
      <c r="HF422" s="5" t="s">
        <v>1063</v>
      </c>
      <c r="HG422" s="4">
        <v>1.81</v>
      </c>
      <c r="HH422">
        <v>0</v>
      </c>
      <c r="HI422">
        <v>15</v>
      </c>
      <c r="HJ422" s="26" t="s">
        <v>1358</v>
      </c>
      <c r="HK422" t="s">
        <v>1</v>
      </c>
      <c r="HL422" t="s">
        <v>1</v>
      </c>
      <c r="HM422" t="s">
        <v>1</v>
      </c>
      <c r="HN422" t="s">
        <v>1</v>
      </c>
      <c r="HO422" t="s">
        <v>1</v>
      </c>
      <c r="HP422" t="s">
        <v>1</v>
      </c>
      <c r="HZ422" t="s">
        <v>969</v>
      </c>
      <c r="IA422">
        <v>250</v>
      </c>
      <c r="IB422" s="10" t="s">
        <v>1</v>
      </c>
      <c r="IC422" s="10"/>
      <c r="ID422" s="10"/>
      <c r="IE422" s="10" t="s">
        <v>1</v>
      </c>
      <c r="IF422" s="10" t="s">
        <v>1</v>
      </c>
      <c r="IG422" s="10"/>
      <c r="IH422" s="10"/>
      <c r="II422" s="10"/>
      <c r="IJ422" s="10"/>
      <c r="IK422" s="10"/>
      <c r="IL422" s="10"/>
      <c r="IM422" s="10"/>
      <c r="IN422" s="10"/>
      <c r="IO422" s="10"/>
      <c r="IP422" s="10"/>
      <c r="IQ422" s="10"/>
      <c r="IR422" s="10"/>
      <c r="IS422" t="s">
        <v>1</v>
      </c>
      <c r="IT422" t="s">
        <v>1</v>
      </c>
      <c r="IW422" t="s">
        <v>1</v>
      </c>
      <c r="IX422" t="s">
        <v>1</v>
      </c>
      <c r="IY422" t="s">
        <v>1</v>
      </c>
      <c r="IZ422" t="s">
        <v>1</v>
      </c>
      <c r="JA422" t="s">
        <v>1</v>
      </c>
      <c r="JB422" s="3" t="s">
        <v>1</v>
      </c>
      <c r="JC422" t="s">
        <v>1</v>
      </c>
      <c r="JD422" s="4" t="s">
        <v>1</v>
      </c>
      <c r="JE422" t="s">
        <v>1</v>
      </c>
      <c r="JF422" t="s">
        <v>1</v>
      </c>
      <c r="JR422" t="s">
        <v>1066</v>
      </c>
      <c r="JS422">
        <v>25.7</v>
      </c>
      <c r="JU422" t="s">
        <v>1</v>
      </c>
      <c r="JW422" t="s">
        <v>842</v>
      </c>
      <c r="JX422">
        <v>0</v>
      </c>
      <c r="JY422">
        <v>100</v>
      </c>
      <c r="JZ422" t="s">
        <v>796</v>
      </c>
      <c r="KA422" t="s">
        <v>198</v>
      </c>
      <c r="KB422" t="s">
        <v>738</v>
      </c>
      <c r="KC422" t="s">
        <v>1067</v>
      </c>
      <c r="KD422" s="1">
        <v>0.15</v>
      </c>
      <c r="KE422" s="1">
        <v>0.12</v>
      </c>
      <c r="KF422" t="s">
        <v>842</v>
      </c>
      <c r="KG422">
        <v>0</v>
      </c>
      <c r="KH422">
        <v>100</v>
      </c>
      <c r="KI422" t="s">
        <v>796</v>
      </c>
      <c r="KJ422" t="s">
        <v>198</v>
      </c>
      <c r="KK422" t="s">
        <v>738</v>
      </c>
    </row>
    <row r="423" spans="1:297" x14ac:dyDescent="0.2">
      <c r="A423">
        <v>391</v>
      </c>
      <c r="B423" t="s">
        <v>705</v>
      </c>
      <c r="C423" t="s">
        <v>484</v>
      </c>
      <c r="D423" t="s">
        <v>482</v>
      </c>
      <c r="E423">
        <v>70</v>
      </c>
      <c r="F423" t="s">
        <v>483</v>
      </c>
      <c r="G423" t="s">
        <v>1</v>
      </c>
      <c r="H423" s="26" t="s">
        <v>1420</v>
      </c>
      <c r="I423" t="s">
        <v>1</v>
      </c>
      <c r="J423" t="s">
        <v>1</v>
      </c>
      <c r="K423" t="s">
        <v>1</v>
      </c>
      <c r="L423" t="s">
        <v>1</v>
      </c>
      <c r="M423" t="s">
        <v>1</v>
      </c>
      <c r="N423" t="s">
        <v>1</v>
      </c>
      <c r="O423" t="s">
        <v>1</v>
      </c>
      <c r="P423" t="s">
        <v>1</v>
      </c>
      <c r="Q423" t="s">
        <v>1</v>
      </c>
      <c r="R423" t="s">
        <v>1</v>
      </c>
      <c r="S423" t="s">
        <v>1</v>
      </c>
      <c r="T423" t="s">
        <v>1</v>
      </c>
      <c r="U423" t="s">
        <v>1</v>
      </c>
      <c r="V423" t="s">
        <v>1</v>
      </c>
      <c r="W423" t="s">
        <v>1</v>
      </c>
      <c r="X423" t="s">
        <v>1</v>
      </c>
      <c r="Y423" t="s">
        <v>1</v>
      </c>
      <c r="Z423" t="s">
        <v>1</v>
      </c>
      <c r="AA423" t="s">
        <v>1</v>
      </c>
      <c r="AB423" t="s">
        <v>1</v>
      </c>
      <c r="AC423" t="s">
        <v>1</v>
      </c>
      <c r="AD423" t="s">
        <v>1</v>
      </c>
      <c r="AE423" t="s">
        <v>1</v>
      </c>
      <c r="AF423" t="s">
        <v>1</v>
      </c>
      <c r="AG423" t="s">
        <v>1</v>
      </c>
      <c r="AH423" t="s">
        <v>1</v>
      </c>
      <c r="AI423" t="s">
        <v>1</v>
      </c>
      <c r="AJ423" t="s">
        <v>1</v>
      </c>
      <c r="AK423" t="s">
        <v>1</v>
      </c>
      <c r="AL423" t="s">
        <v>1</v>
      </c>
      <c r="AM423" t="s">
        <v>1</v>
      </c>
      <c r="AN423">
        <v>391</v>
      </c>
      <c r="AO423">
        <f t="shared" si="54"/>
        <v>391</v>
      </c>
      <c r="AP423">
        <f t="shared" si="55"/>
        <v>70</v>
      </c>
      <c r="AQ423">
        <f t="shared" si="57"/>
        <v>70</v>
      </c>
      <c r="AR423" s="26" t="s">
        <v>1355</v>
      </c>
      <c r="AS423" s="26" t="s">
        <v>1356</v>
      </c>
      <c r="AT423" t="s">
        <v>713</v>
      </c>
      <c r="AU423" t="s">
        <v>1</v>
      </c>
      <c r="AV423" t="s">
        <v>1</v>
      </c>
      <c r="AW423">
        <v>43.3</v>
      </c>
      <c r="AX423">
        <v>-89.35</v>
      </c>
      <c r="AY423" t="s">
        <v>737</v>
      </c>
      <c r="BA423" s="3">
        <v>4</v>
      </c>
      <c r="BB423" s="3"/>
      <c r="BC423" s="3"/>
      <c r="BD423" s="3"/>
      <c r="BE423" s="3"/>
      <c r="BF423">
        <v>1995</v>
      </c>
      <c r="BG423" s="24" t="s">
        <v>733</v>
      </c>
      <c r="BH423" s="24" t="s">
        <v>733</v>
      </c>
      <c r="BI423" s="24" t="s">
        <v>733</v>
      </c>
      <c r="BJ423" s="24" t="s">
        <v>732</v>
      </c>
      <c r="BK423" s="24" t="s">
        <v>733</v>
      </c>
      <c r="BL423" s="25" t="s">
        <v>733</v>
      </c>
      <c r="BM423" s="24" t="s">
        <v>733</v>
      </c>
      <c r="BN423" s="24" t="s">
        <v>732</v>
      </c>
      <c r="BO423" s="24" t="s">
        <v>733</v>
      </c>
      <c r="BP423" s="24" t="s">
        <v>733</v>
      </c>
      <c r="BQ423" s="24" t="s">
        <v>945</v>
      </c>
      <c r="BR423" s="24" t="s">
        <v>945</v>
      </c>
      <c r="BS423" s="25" t="s">
        <v>934</v>
      </c>
      <c r="BT423" s="24" t="s">
        <v>934</v>
      </c>
      <c r="BU423" s="24" t="s">
        <v>934</v>
      </c>
      <c r="BV423" s="24" t="s">
        <v>934</v>
      </c>
      <c r="BW423" s="24" t="s">
        <v>934</v>
      </c>
      <c r="BX423" s="24" t="s">
        <v>934</v>
      </c>
      <c r="BY423" s="25" t="s">
        <v>945</v>
      </c>
      <c r="BZ423" t="s">
        <v>5</v>
      </c>
      <c r="CB423" t="s">
        <v>1</v>
      </c>
      <c r="CC423" s="4">
        <f>8.84*1000*84.5%</f>
        <v>7469.8</v>
      </c>
      <c r="CD423" s="4"/>
      <c r="CE423" s="4"/>
      <c r="CF423" t="s">
        <v>793</v>
      </c>
      <c r="CG423">
        <v>100</v>
      </c>
      <c r="CH423" t="s">
        <v>805</v>
      </c>
      <c r="CI423" s="28">
        <v>1.6</v>
      </c>
      <c r="CJ423" s="10" t="s">
        <v>1442</v>
      </c>
      <c r="CK423" s="9" t="s">
        <v>1</v>
      </c>
      <c r="CL423" s="4" t="s">
        <v>1</v>
      </c>
      <c r="CM423" s="4" t="s">
        <v>1</v>
      </c>
      <c r="CN423" s="4" t="s">
        <v>1</v>
      </c>
      <c r="CO423" s="4" t="s">
        <v>1</v>
      </c>
      <c r="CP423" s="4" t="s">
        <v>1</v>
      </c>
      <c r="CQ423" s="4" t="s">
        <v>1</v>
      </c>
      <c r="CR423" s="4" t="s">
        <v>1</v>
      </c>
      <c r="CS423" s="4" t="s">
        <v>1</v>
      </c>
      <c r="CT423" s="4" t="s">
        <v>1</v>
      </c>
      <c r="CU423" s="4" t="s">
        <v>1</v>
      </c>
      <c r="CV423" t="s">
        <v>1068</v>
      </c>
      <c r="CW423">
        <v>100</v>
      </c>
      <c r="CX423">
        <v>0</v>
      </c>
      <c r="CY423">
        <v>30</v>
      </c>
      <c r="CZ423" s="26" t="s">
        <v>1358</v>
      </c>
      <c r="DA423" t="s">
        <v>734</v>
      </c>
      <c r="DB423">
        <v>15.5</v>
      </c>
      <c r="DC423">
        <v>0</v>
      </c>
      <c r="DD423">
        <v>30</v>
      </c>
      <c r="DE423" s="26" t="s">
        <v>1358</v>
      </c>
      <c r="DF423" t="s">
        <v>735</v>
      </c>
      <c r="DG423">
        <v>63.5</v>
      </c>
      <c r="DH423">
        <v>0</v>
      </c>
      <c r="DI423">
        <v>30</v>
      </c>
      <c r="DJ423" s="26" t="s">
        <v>1358</v>
      </c>
      <c r="DK423" t="s">
        <v>736</v>
      </c>
      <c r="DL423">
        <v>21</v>
      </c>
      <c r="DM423">
        <v>0</v>
      </c>
      <c r="DN423">
        <v>30</v>
      </c>
      <c r="DO423" s="26" t="s">
        <v>1358</v>
      </c>
      <c r="DP423" t="s">
        <v>6</v>
      </c>
      <c r="DQ423" t="s">
        <v>1</v>
      </c>
      <c r="DR423">
        <v>6.3</v>
      </c>
      <c r="DS423">
        <v>0</v>
      </c>
      <c r="DT423">
        <v>30</v>
      </c>
      <c r="DU423" s="26" t="s">
        <v>1358</v>
      </c>
      <c r="EA423" t="s">
        <v>982</v>
      </c>
      <c r="EB423">
        <v>20.9</v>
      </c>
      <c r="EC423">
        <v>0</v>
      </c>
      <c r="ED423">
        <v>30</v>
      </c>
      <c r="EE423" s="26" t="s">
        <v>1358</v>
      </c>
      <c r="EF423" s="26"/>
      <c r="FZ423" t="s">
        <v>806</v>
      </c>
      <c r="GA423">
        <v>1269</v>
      </c>
      <c r="GE423" s="26" t="s">
        <v>1358</v>
      </c>
      <c r="HA423" s="5" t="s">
        <v>1</v>
      </c>
      <c r="HB423" s="4" t="s">
        <v>1</v>
      </c>
      <c r="HC423" t="s">
        <v>1</v>
      </c>
      <c r="HD423" t="s">
        <v>1</v>
      </c>
      <c r="HE423" t="s">
        <v>1</v>
      </c>
      <c r="HF423" s="5" t="s">
        <v>1</v>
      </c>
      <c r="HG423" s="4" t="s">
        <v>1</v>
      </c>
      <c r="HH423" t="s">
        <v>1</v>
      </c>
      <c r="HI423" t="s">
        <v>1</v>
      </c>
      <c r="HJ423" t="s">
        <v>1</v>
      </c>
      <c r="HK423" t="s">
        <v>1</v>
      </c>
      <c r="HL423" t="s">
        <v>1</v>
      </c>
      <c r="HM423" t="s">
        <v>1</v>
      </c>
      <c r="HN423" t="s">
        <v>1</v>
      </c>
      <c r="HO423" t="s">
        <v>1</v>
      </c>
      <c r="HP423" t="s">
        <v>1</v>
      </c>
      <c r="HZ423" t="s">
        <v>1</v>
      </c>
      <c r="IA423" t="s">
        <v>1</v>
      </c>
      <c r="IB423" s="10" t="s">
        <v>1</v>
      </c>
      <c r="IC423" s="10"/>
      <c r="ID423" s="10"/>
      <c r="IE423" s="10" t="s">
        <v>1</v>
      </c>
      <c r="IF423" s="10" t="s">
        <v>1</v>
      </c>
      <c r="IG423" s="10"/>
      <c r="IH423" s="10"/>
      <c r="II423" s="10"/>
      <c r="IJ423" s="10"/>
      <c r="IK423" s="10"/>
      <c r="IL423" s="10"/>
      <c r="IM423" s="10"/>
      <c r="IN423" s="10"/>
      <c r="IO423" s="10"/>
      <c r="IP423" s="10"/>
      <c r="IQ423" s="10"/>
      <c r="IR423" s="10"/>
      <c r="IS423" t="s">
        <v>1</v>
      </c>
      <c r="IT423" t="s">
        <v>1</v>
      </c>
      <c r="IW423" t="s">
        <v>1</v>
      </c>
      <c r="IX423" t="s">
        <v>1</v>
      </c>
      <c r="IY423" t="s">
        <v>1</v>
      </c>
      <c r="IZ423" t="s">
        <v>1</v>
      </c>
      <c r="JA423" t="s">
        <v>1</v>
      </c>
      <c r="JB423" s="3" t="s">
        <v>1</v>
      </c>
      <c r="JC423" t="s">
        <v>1</v>
      </c>
      <c r="JD423" s="4" t="s">
        <v>1</v>
      </c>
      <c r="JE423" t="s">
        <v>810</v>
      </c>
      <c r="JF423">
        <v>100</v>
      </c>
      <c r="JR423" t="s">
        <v>1066</v>
      </c>
      <c r="JS423">
        <v>13.3</v>
      </c>
      <c r="JU423" t="s">
        <v>1</v>
      </c>
      <c r="JW423" t="s">
        <v>1</v>
      </c>
      <c r="JX423">
        <v>0</v>
      </c>
      <c r="JY423">
        <v>120</v>
      </c>
      <c r="JZ423" t="s">
        <v>800</v>
      </c>
      <c r="KA423" t="s">
        <v>485</v>
      </c>
      <c r="KB423" t="s">
        <v>738</v>
      </c>
      <c r="KC423" t="s">
        <v>1</v>
      </c>
      <c r="KD423" t="s">
        <v>1</v>
      </c>
      <c r="KE423" t="s">
        <v>1</v>
      </c>
      <c r="KF423" t="s">
        <v>1</v>
      </c>
      <c r="KG423" t="s">
        <v>1</v>
      </c>
      <c r="KH423" t="s">
        <v>1</v>
      </c>
      <c r="KI423" t="s">
        <v>1</v>
      </c>
      <c r="KJ423" t="s">
        <v>1</v>
      </c>
      <c r="KK423" t="s">
        <v>1</v>
      </c>
    </row>
    <row r="424" spans="1:297" x14ac:dyDescent="0.2">
      <c r="A424">
        <v>392</v>
      </c>
      <c r="B424" t="s">
        <v>705</v>
      </c>
      <c r="C424" t="s">
        <v>486</v>
      </c>
      <c r="D424" t="s">
        <v>482</v>
      </c>
      <c r="E424">
        <v>70</v>
      </c>
      <c r="F424" t="s">
        <v>483</v>
      </c>
      <c r="G424" t="s">
        <v>1</v>
      </c>
      <c r="H424" s="26" t="s">
        <v>1420</v>
      </c>
      <c r="I424" t="s">
        <v>1</v>
      </c>
      <c r="J424" t="s">
        <v>1</v>
      </c>
      <c r="K424" t="s">
        <v>1</v>
      </c>
      <c r="L424" t="s">
        <v>1</v>
      </c>
      <c r="M424" t="s">
        <v>1</v>
      </c>
      <c r="N424" t="s">
        <v>1</v>
      </c>
      <c r="O424" t="s">
        <v>1</v>
      </c>
      <c r="P424" t="s">
        <v>1</v>
      </c>
      <c r="Q424" t="s">
        <v>1</v>
      </c>
      <c r="R424" t="s">
        <v>1</v>
      </c>
      <c r="S424" t="s">
        <v>1</v>
      </c>
      <c r="T424" t="s">
        <v>1</v>
      </c>
      <c r="U424" t="s">
        <v>1</v>
      </c>
      <c r="V424" t="s">
        <v>1</v>
      </c>
      <c r="W424" t="s">
        <v>1</v>
      </c>
      <c r="X424" t="s">
        <v>1</v>
      </c>
      <c r="Y424" t="s">
        <v>1</v>
      </c>
      <c r="Z424" t="s">
        <v>1</v>
      </c>
      <c r="AA424" t="s">
        <v>1</v>
      </c>
      <c r="AB424" t="s">
        <v>1</v>
      </c>
      <c r="AC424" t="s">
        <v>1</v>
      </c>
      <c r="AD424" t="s">
        <v>1</v>
      </c>
      <c r="AE424" t="s">
        <v>1</v>
      </c>
      <c r="AF424" t="s">
        <v>1</v>
      </c>
      <c r="AG424" t="s">
        <v>1</v>
      </c>
      <c r="AH424" t="s">
        <v>1</v>
      </c>
      <c r="AI424" t="s">
        <v>1</v>
      </c>
      <c r="AJ424" t="s">
        <v>1</v>
      </c>
      <c r="AK424" t="s">
        <v>1</v>
      </c>
      <c r="AL424" t="s">
        <v>1</v>
      </c>
      <c r="AM424" t="s">
        <v>1</v>
      </c>
      <c r="AN424">
        <v>392</v>
      </c>
      <c r="AO424">
        <f t="shared" si="54"/>
        <v>392</v>
      </c>
      <c r="AP424">
        <f t="shared" si="55"/>
        <v>70</v>
      </c>
      <c r="AQ424">
        <f t="shared" si="57"/>
        <v>70</v>
      </c>
      <c r="AR424" s="26" t="s">
        <v>1355</v>
      </c>
      <c r="AS424" s="26" t="s">
        <v>1356</v>
      </c>
      <c r="AT424" t="s">
        <v>713</v>
      </c>
      <c r="AU424" t="s">
        <v>1</v>
      </c>
      <c r="AV424" t="s">
        <v>1</v>
      </c>
      <c r="AW424">
        <v>43.3</v>
      </c>
      <c r="AX424">
        <v>-89.35</v>
      </c>
      <c r="AY424" t="s">
        <v>737</v>
      </c>
      <c r="BA424" s="3">
        <v>4</v>
      </c>
      <c r="BB424" s="3"/>
      <c r="BC424" s="3"/>
      <c r="BD424" s="3"/>
      <c r="BE424" s="3"/>
      <c r="BF424">
        <v>1995</v>
      </c>
      <c r="BG424" s="24" t="s">
        <v>733</v>
      </c>
      <c r="BH424" s="24" t="s">
        <v>733</v>
      </c>
      <c r="BI424" s="24" t="s">
        <v>733</v>
      </c>
      <c r="BJ424" s="24" t="s">
        <v>732</v>
      </c>
      <c r="BK424" s="24" t="s">
        <v>733</v>
      </c>
      <c r="BL424" s="25" t="s">
        <v>733</v>
      </c>
      <c r="BM424" s="24" t="s">
        <v>733</v>
      </c>
      <c r="BN424" s="24" t="s">
        <v>732</v>
      </c>
      <c r="BO424" s="24" t="s">
        <v>733</v>
      </c>
      <c r="BP424" s="24" t="s">
        <v>733</v>
      </c>
      <c r="BQ424" s="24" t="s">
        <v>945</v>
      </c>
      <c r="BR424" s="24" t="s">
        <v>945</v>
      </c>
      <c r="BS424" s="25" t="s">
        <v>934</v>
      </c>
      <c r="BT424" s="24" t="s">
        <v>934</v>
      </c>
      <c r="BU424" s="24" t="s">
        <v>934</v>
      </c>
      <c r="BV424" s="24" t="s">
        <v>934</v>
      </c>
      <c r="BW424" s="24" t="s">
        <v>934</v>
      </c>
      <c r="BX424" s="24" t="s">
        <v>934</v>
      </c>
      <c r="BY424" s="25" t="s">
        <v>945</v>
      </c>
      <c r="BZ424" t="s">
        <v>5</v>
      </c>
      <c r="CB424" t="s">
        <v>1</v>
      </c>
      <c r="CC424" s="4">
        <f>11.6*1000*84.5%</f>
        <v>9802</v>
      </c>
      <c r="CD424" s="4"/>
      <c r="CE424" s="4"/>
      <c r="CF424" t="s">
        <v>793</v>
      </c>
      <c r="CG424">
        <v>100</v>
      </c>
      <c r="CH424" t="s">
        <v>805</v>
      </c>
      <c r="CI424" s="28">
        <v>1.6</v>
      </c>
      <c r="CJ424" s="10" t="s">
        <v>1442</v>
      </c>
      <c r="CK424" s="9" t="s">
        <v>1</v>
      </c>
      <c r="CL424" s="4" t="s">
        <v>1</v>
      </c>
      <c r="CM424" s="4" t="s">
        <v>1</v>
      </c>
      <c r="CN424" s="4" t="s">
        <v>1</v>
      </c>
      <c r="CO424" s="4" t="s">
        <v>1</v>
      </c>
      <c r="CP424" s="4" t="s">
        <v>1</v>
      </c>
      <c r="CQ424" s="4" t="s">
        <v>1</v>
      </c>
      <c r="CR424" s="4" t="s">
        <v>1</v>
      </c>
      <c r="CS424" s="4" t="s">
        <v>1</v>
      </c>
      <c r="CT424" s="4" t="s">
        <v>1</v>
      </c>
      <c r="CU424" s="4" t="s">
        <v>1</v>
      </c>
      <c r="CV424" t="s">
        <v>1068</v>
      </c>
      <c r="CW424">
        <v>100</v>
      </c>
      <c r="CX424">
        <v>0</v>
      </c>
      <c r="CY424">
        <v>30</v>
      </c>
      <c r="CZ424" s="26" t="s">
        <v>1358</v>
      </c>
      <c r="DA424" t="s">
        <v>734</v>
      </c>
      <c r="DB424">
        <v>15.5</v>
      </c>
      <c r="DC424">
        <v>0</v>
      </c>
      <c r="DD424">
        <v>30</v>
      </c>
      <c r="DE424" s="26" t="s">
        <v>1358</v>
      </c>
      <c r="DF424" t="s">
        <v>735</v>
      </c>
      <c r="DG424">
        <v>63.5</v>
      </c>
      <c r="DH424">
        <v>0</v>
      </c>
      <c r="DI424">
        <v>30</v>
      </c>
      <c r="DJ424" s="26" t="s">
        <v>1358</v>
      </c>
      <c r="DK424" t="s">
        <v>736</v>
      </c>
      <c r="DL424">
        <v>21</v>
      </c>
      <c r="DM424">
        <v>0</v>
      </c>
      <c r="DN424">
        <v>30</v>
      </c>
      <c r="DO424" s="26" t="s">
        <v>1358</v>
      </c>
      <c r="DP424" t="s">
        <v>6</v>
      </c>
      <c r="DQ424" t="s">
        <v>1</v>
      </c>
      <c r="DR424">
        <v>6.3</v>
      </c>
      <c r="DS424">
        <v>0</v>
      </c>
      <c r="DT424">
        <v>30</v>
      </c>
      <c r="DU424" s="26" t="s">
        <v>1358</v>
      </c>
      <c r="EA424" t="s">
        <v>982</v>
      </c>
      <c r="EB424">
        <v>20.9</v>
      </c>
      <c r="EC424">
        <v>0</v>
      </c>
      <c r="ED424">
        <v>30</v>
      </c>
      <c r="EE424" s="26" t="s">
        <v>1358</v>
      </c>
      <c r="EF424" s="26"/>
      <c r="FZ424" t="s">
        <v>806</v>
      </c>
      <c r="GA424">
        <v>1269</v>
      </c>
      <c r="GE424" s="26" t="s">
        <v>1358</v>
      </c>
      <c r="HA424" s="5" t="s">
        <v>1</v>
      </c>
      <c r="HB424" s="4" t="s">
        <v>1</v>
      </c>
      <c r="HC424" t="s">
        <v>1</v>
      </c>
      <c r="HD424" t="s">
        <v>1</v>
      </c>
      <c r="HE424" t="s">
        <v>1</v>
      </c>
      <c r="HF424" s="5" t="s">
        <v>1</v>
      </c>
      <c r="HG424" s="4" t="s">
        <v>1</v>
      </c>
      <c r="HH424" t="s">
        <v>1</v>
      </c>
      <c r="HI424" t="s">
        <v>1</v>
      </c>
      <c r="HJ424" t="s">
        <v>1</v>
      </c>
      <c r="HK424" t="s">
        <v>1</v>
      </c>
      <c r="HL424" t="s">
        <v>1</v>
      </c>
      <c r="HM424" t="s">
        <v>1</v>
      </c>
      <c r="HN424" t="s">
        <v>1</v>
      </c>
      <c r="HO424" t="s">
        <v>1</v>
      </c>
      <c r="HP424" t="s">
        <v>1</v>
      </c>
      <c r="HZ424" t="s">
        <v>966</v>
      </c>
      <c r="IA424">
        <v>204</v>
      </c>
      <c r="IB424" s="5" t="s">
        <v>1</v>
      </c>
      <c r="IC424" s="5"/>
      <c r="ID424" s="5"/>
      <c r="IE424" s="10" t="s">
        <v>1</v>
      </c>
      <c r="IF424" s="10" t="s">
        <v>1</v>
      </c>
      <c r="IG424" s="10"/>
      <c r="IH424" s="10"/>
      <c r="II424" s="10"/>
      <c r="IJ424" s="10"/>
      <c r="IK424" s="10"/>
      <c r="IL424" s="10"/>
      <c r="IM424" s="10"/>
      <c r="IN424" s="10"/>
      <c r="IO424" s="10"/>
      <c r="IP424" s="10"/>
      <c r="IQ424" s="10"/>
      <c r="IR424" s="10"/>
      <c r="IS424" t="s">
        <v>1</v>
      </c>
      <c r="IT424" t="s">
        <v>1</v>
      </c>
      <c r="IW424" t="s">
        <v>1</v>
      </c>
      <c r="IX424" t="s">
        <v>1</v>
      </c>
      <c r="IY424" t="s">
        <v>1</v>
      </c>
      <c r="IZ424" t="s">
        <v>1</v>
      </c>
      <c r="JA424" t="s">
        <v>1</v>
      </c>
      <c r="JB424" s="3" t="s">
        <v>1</v>
      </c>
      <c r="JC424" t="s">
        <v>1</v>
      </c>
      <c r="JD424" s="4" t="s">
        <v>1</v>
      </c>
      <c r="JE424" t="s">
        <v>810</v>
      </c>
      <c r="JF424">
        <v>100</v>
      </c>
      <c r="JR424" t="s">
        <v>1066</v>
      </c>
      <c r="JS424">
        <v>141.69999999999999</v>
      </c>
      <c r="JU424" t="s">
        <v>1</v>
      </c>
      <c r="JW424" t="s">
        <v>1</v>
      </c>
      <c r="JX424">
        <v>0</v>
      </c>
      <c r="JY424">
        <v>120</v>
      </c>
      <c r="JZ424" t="s">
        <v>800</v>
      </c>
      <c r="KA424" t="s">
        <v>485</v>
      </c>
      <c r="KB424" t="s">
        <v>738</v>
      </c>
      <c r="KC424" t="s">
        <v>1</v>
      </c>
      <c r="KD424" t="s">
        <v>1</v>
      </c>
      <c r="KE424" t="s">
        <v>1</v>
      </c>
      <c r="KF424" t="s">
        <v>1</v>
      </c>
      <c r="KG424" t="s">
        <v>1</v>
      </c>
      <c r="KH424" t="s">
        <v>1</v>
      </c>
      <c r="KI424" t="s">
        <v>1</v>
      </c>
      <c r="KJ424" t="s">
        <v>1</v>
      </c>
      <c r="KK424" t="s">
        <v>1</v>
      </c>
    </row>
    <row r="425" spans="1:297" x14ac:dyDescent="0.2">
      <c r="A425">
        <v>393</v>
      </c>
      <c r="B425" t="s">
        <v>705</v>
      </c>
      <c r="C425" t="s">
        <v>487</v>
      </c>
      <c r="D425" t="s">
        <v>482</v>
      </c>
      <c r="E425">
        <v>70</v>
      </c>
      <c r="F425" t="s">
        <v>483</v>
      </c>
      <c r="G425" t="s">
        <v>1</v>
      </c>
      <c r="H425" s="26" t="s">
        <v>1420</v>
      </c>
      <c r="I425" t="s">
        <v>1</v>
      </c>
      <c r="J425" t="s">
        <v>1</v>
      </c>
      <c r="K425" t="s">
        <v>1</v>
      </c>
      <c r="L425" t="s">
        <v>1</v>
      </c>
      <c r="M425" t="s">
        <v>1</v>
      </c>
      <c r="N425" t="s">
        <v>1</v>
      </c>
      <c r="O425" t="s">
        <v>1</v>
      </c>
      <c r="P425" t="s">
        <v>1</v>
      </c>
      <c r="Q425" t="s">
        <v>1</v>
      </c>
      <c r="R425" t="s">
        <v>1</v>
      </c>
      <c r="S425" t="s">
        <v>1</v>
      </c>
      <c r="T425" t="s">
        <v>1</v>
      </c>
      <c r="U425" t="s">
        <v>1</v>
      </c>
      <c r="V425" t="s">
        <v>1</v>
      </c>
      <c r="W425" t="s">
        <v>1</v>
      </c>
      <c r="X425" t="s">
        <v>1</v>
      </c>
      <c r="Y425" t="s">
        <v>1</v>
      </c>
      <c r="Z425" t="s">
        <v>1</v>
      </c>
      <c r="AA425" t="s">
        <v>1</v>
      </c>
      <c r="AB425" t="s">
        <v>1</v>
      </c>
      <c r="AC425" t="s">
        <v>1</v>
      </c>
      <c r="AD425" t="s">
        <v>1</v>
      </c>
      <c r="AE425" t="s">
        <v>1</v>
      </c>
      <c r="AF425" t="s">
        <v>1</v>
      </c>
      <c r="AG425" t="s">
        <v>1</v>
      </c>
      <c r="AH425" t="s">
        <v>1</v>
      </c>
      <c r="AI425" t="s">
        <v>1</v>
      </c>
      <c r="AJ425" t="s">
        <v>1</v>
      </c>
      <c r="AK425" t="s">
        <v>1</v>
      </c>
      <c r="AL425" t="s">
        <v>1</v>
      </c>
      <c r="AM425" t="s">
        <v>1</v>
      </c>
      <c r="AN425">
        <v>393</v>
      </c>
      <c r="AO425">
        <f t="shared" si="54"/>
        <v>393</v>
      </c>
      <c r="AP425">
        <f t="shared" si="55"/>
        <v>70</v>
      </c>
      <c r="AQ425">
        <f t="shared" si="57"/>
        <v>70</v>
      </c>
      <c r="AR425" s="26" t="s">
        <v>1355</v>
      </c>
      <c r="AS425" s="26" t="s">
        <v>1356</v>
      </c>
      <c r="AT425" t="s">
        <v>713</v>
      </c>
      <c r="AU425" t="s">
        <v>1</v>
      </c>
      <c r="AV425" t="s">
        <v>1</v>
      </c>
      <c r="AW425">
        <v>43.3</v>
      </c>
      <c r="AX425">
        <v>-89.35</v>
      </c>
      <c r="AY425" t="s">
        <v>737</v>
      </c>
      <c r="BA425" s="3">
        <v>4</v>
      </c>
      <c r="BB425" s="3"/>
      <c r="BC425" s="3"/>
      <c r="BD425" s="3"/>
      <c r="BE425" s="3"/>
      <c r="BF425">
        <v>1995</v>
      </c>
      <c r="BG425" s="24" t="s">
        <v>733</v>
      </c>
      <c r="BH425" s="24" t="s">
        <v>733</v>
      </c>
      <c r="BI425" s="24" t="s">
        <v>733</v>
      </c>
      <c r="BJ425" s="24" t="s">
        <v>732</v>
      </c>
      <c r="BK425" s="24" t="s">
        <v>733</v>
      </c>
      <c r="BL425" s="25" t="s">
        <v>733</v>
      </c>
      <c r="BM425" s="24" t="s">
        <v>733</v>
      </c>
      <c r="BN425" s="24" t="s">
        <v>732</v>
      </c>
      <c r="BO425" s="24" t="s">
        <v>733</v>
      </c>
      <c r="BP425" s="24" t="s">
        <v>733</v>
      </c>
      <c r="BQ425" s="24" t="s">
        <v>945</v>
      </c>
      <c r="BR425" s="24" t="s">
        <v>945</v>
      </c>
      <c r="BS425" s="25" t="s">
        <v>934</v>
      </c>
      <c r="BT425" s="24" t="s">
        <v>934</v>
      </c>
      <c r="BU425" s="24" t="s">
        <v>934</v>
      </c>
      <c r="BV425" s="24" t="s">
        <v>934</v>
      </c>
      <c r="BW425" s="24" t="s">
        <v>934</v>
      </c>
      <c r="BX425" s="24" t="s">
        <v>934</v>
      </c>
      <c r="BY425" s="25" t="s">
        <v>945</v>
      </c>
      <c r="BZ425" t="s">
        <v>5</v>
      </c>
      <c r="CB425" t="s">
        <v>1</v>
      </c>
      <c r="CC425" s="4">
        <f>9.28*1000*84.5%</f>
        <v>7841.5999999999995</v>
      </c>
      <c r="CD425" s="4"/>
      <c r="CE425" s="4"/>
      <c r="CF425" t="s">
        <v>793</v>
      </c>
      <c r="CG425">
        <v>100</v>
      </c>
      <c r="CH425" t="s">
        <v>805</v>
      </c>
      <c r="CI425" s="28">
        <v>1.6</v>
      </c>
      <c r="CJ425" s="10" t="s">
        <v>1442</v>
      </c>
      <c r="CK425" s="9" t="s">
        <v>1</v>
      </c>
      <c r="CL425" s="4" t="s">
        <v>1</v>
      </c>
      <c r="CM425" s="4" t="s">
        <v>1</v>
      </c>
      <c r="CN425" s="4" t="s">
        <v>1</v>
      </c>
      <c r="CO425" s="4" t="s">
        <v>1</v>
      </c>
      <c r="CP425" s="4" t="s">
        <v>1</v>
      </c>
      <c r="CQ425" s="4" t="s">
        <v>1</v>
      </c>
      <c r="CR425" s="4" t="s">
        <v>1</v>
      </c>
      <c r="CS425" s="4" t="s">
        <v>1</v>
      </c>
      <c r="CT425" s="4" t="s">
        <v>1</v>
      </c>
      <c r="CU425" s="4" t="s">
        <v>1</v>
      </c>
      <c r="CV425" t="s">
        <v>1068</v>
      </c>
      <c r="CW425">
        <v>100</v>
      </c>
      <c r="CX425">
        <v>0</v>
      </c>
      <c r="CY425">
        <v>30</v>
      </c>
      <c r="CZ425" s="26" t="s">
        <v>1358</v>
      </c>
      <c r="DA425" t="s">
        <v>734</v>
      </c>
      <c r="DB425">
        <v>15.5</v>
      </c>
      <c r="DC425">
        <v>0</v>
      </c>
      <c r="DD425">
        <v>30</v>
      </c>
      <c r="DE425" s="26" t="s">
        <v>1358</v>
      </c>
      <c r="DF425" t="s">
        <v>735</v>
      </c>
      <c r="DG425">
        <v>63.5</v>
      </c>
      <c r="DH425">
        <v>0</v>
      </c>
      <c r="DI425">
        <v>30</v>
      </c>
      <c r="DJ425" s="26" t="s">
        <v>1358</v>
      </c>
      <c r="DK425" t="s">
        <v>736</v>
      </c>
      <c r="DL425">
        <v>21</v>
      </c>
      <c r="DM425">
        <v>0</v>
      </c>
      <c r="DN425">
        <v>30</v>
      </c>
      <c r="DO425" s="26" t="s">
        <v>1358</v>
      </c>
      <c r="DP425" t="s">
        <v>6</v>
      </c>
      <c r="DQ425" t="s">
        <v>1</v>
      </c>
      <c r="DR425">
        <v>6.8</v>
      </c>
      <c r="DS425">
        <v>0</v>
      </c>
      <c r="DT425">
        <v>30</v>
      </c>
      <c r="DU425" s="26" t="s">
        <v>1358</v>
      </c>
      <c r="EA425" t="s">
        <v>982</v>
      </c>
      <c r="EB425">
        <v>22</v>
      </c>
      <c r="EC425">
        <v>0</v>
      </c>
      <c r="ED425">
        <v>30</v>
      </c>
      <c r="EE425" s="26" t="s">
        <v>1358</v>
      </c>
      <c r="EF425" s="26"/>
      <c r="FZ425" t="s">
        <v>806</v>
      </c>
      <c r="GA425">
        <v>1269</v>
      </c>
      <c r="GE425" s="26" t="s">
        <v>1358</v>
      </c>
      <c r="HA425" s="5" t="s">
        <v>1</v>
      </c>
      <c r="HB425" s="4" t="s">
        <v>1</v>
      </c>
      <c r="HC425" t="s">
        <v>1</v>
      </c>
      <c r="HD425" t="s">
        <v>1</v>
      </c>
      <c r="HE425" t="s">
        <v>1</v>
      </c>
      <c r="HF425" s="5" t="s">
        <v>1</v>
      </c>
      <c r="HG425" s="4" t="s">
        <v>1</v>
      </c>
      <c r="HH425" t="s">
        <v>1</v>
      </c>
      <c r="HI425" t="s">
        <v>1</v>
      </c>
      <c r="HJ425" t="s">
        <v>1</v>
      </c>
      <c r="HK425" t="s">
        <v>1</v>
      </c>
      <c r="HL425" t="s">
        <v>1</v>
      </c>
      <c r="HM425" t="s">
        <v>1</v>
      </c>
      <c r="HN425" t="s">
        <v>1</v>
      </c>
      <c r="HO425" t="s">
        <v>1</v>
      </c>
      <c r="HP425" t="s">
        <v>1</v>
      </c>
      <c r="HZ425" t="s">
        <v>1</v>
      </c>
      <c r="IA425" t="s">
        <v>1</v>
      </c>
      <c r="IB425" s="10" t="s">
        <v>1</v>
      </c>
      <c r="IC425" s="10"/>
      <c r="ID425" s="10"/>
      <c r="IE425" s="10" t="s">
        <v>1</v>
      </c>
      <c r="IF425" s="10" t="s">
        <v>1</v>
      </c>
      <c r="IG425" s="10"/>
      <c r="IH425" s="10"/>
      <c r="II425" s="10"/>
      <c r="IJ425" s="10"/>
      <c r="IK425" s="10"/>
      <c r="IL425" s="10"/>
      <c r="IM425" s="10"/>
      <c r="IN425" s="10"/>
      <c r="IO425" s="10"/>
      <c r="IP425" s="10"/>
      <c r="IQ425" s="10"/>
      <c r="IR425" s="10"/>
      <c r="IS425" t="s">
        <v>1</v>
      </c>
      <c r="IT425" t="s">
        <v>1</v>
      </c>
      <c r="IW425" t="s">
        <v>1</v>
      </c>
      <c r="IX425" t="s">
        <v>1</v>
      </c>
      <c r="IY425" t="s">
        <v>1</v>
      </c>
      <c r="IZ425" t="s">
        <v>1</v>
      </c>
      <c r="JA425" t="s">
        <v>1</v>
      </c>
      <c r="JB425" s="3" t="s">
        <v>1</v>
      </c>
      <c r="JC425" t="s">
        <v>1</v>
      </c>
      <c r="JD425" s="4" t="s">
        <v>1</v>
      </c>
      <c r="JE425" t="s">
        <v>810</v>
      </c>
      <c r="JF425">
        <v>100</v>
      </c>
      <c r="JR425" t="s">
        <v>1066</v>
      </c>
      <c r="JS425">
        <v>39.799999999999997</v>
      </c>
      <c r="JU425" t="s">
        <v>1</v>
      </c>
      <c r="JW425" t="s">
        <v>1</v>
      </c>
      <c r="JX425">
        <v>0</v>
      </c>
      <c r="JY425">
        <v>120</v>
      </c>
      <c r="JZ425" t="s">
        <v>800</v>
      </c>
      <c r="KA425" t="s">
        <v>485</v>
      </c>
      <c r="KB425" t="s">
        <v>738</v>
      </c>
      <c r="KC425" t="s">
        <v>1</v>
      </c>
      <c r="KD425" t="s">
        <v>1</v>
      </c>
      <c r="KE425" t="s">
        <v>1</v>
      </c>
      <c r="KF425" t="s">
        <v>1</v>
      </c>
      <c r="KG425" t="s">
        <v>1</v>
      </c>
      <c r="KH425" t="s">
        <v>1</v>
      </c>
      <c r="KI425" t="s">
        <v>1</v>
      </c>
      <c r="KJ425" t="s">
        <v>1</v>
      </c>
      <c r="KK425" t="s">
        <v>1</v>
      </c>
    </row>
    <row r="426" spans="1:297" x14ac:dyDescent="0.2">
      <c r="A426">
        <v>394</v>
      </c>
      <c r="B426" t="s">
        <v>705</v>
      </c>
      <c r="C426" t="s">
        <v>488</v>
      </c>
      <c r="D426" t="s">
        <v>482</v>
      </c>
      <c r="E426">
        <v>70</v>
      </c>
      <c r="F426" t="s">
        <v>483</v>
      </c>
      <c r="G426" t="s">
        <v>1</v>
      </c>
      <c r="H426" s="26" t="s">
        <v>1420</v>
      </c>
      <c r="I426" t="s">
        <v>1</v>
      </c>
      <c r="J426" t="s">
        <v>1</v>
      </c>
      <c r="K426" t="s">
        <v>1</v>
      </c>
      <c r="L426" t="s">
        <v>1</v>
      </c>
      <c r="M426" t="s">
        <v>1</v>
      </c>
      <c r="N426" t="s">
        <v>1</v>
      </c>
      <c r="O426" t="s">
        <v>1</v>
      </c>
      <c r="P426" t="s">
        <v>1</v>
      </c>
      <c r="Q426" t="s">
        <v>1</v>
      </c>
      <c r="R426" t="s">
        <v>1</v>
      </c>
      <c r="S426" t="s">
        <v>1</v>
      </c>
      <c r="T426" t="s">
        <v>1</v>
      </c>
      <c r="U426" t="s">
        <v>1</v>
      </c>
      <c r="V426" t="s">
        <v>1</v>
      </c>
      <c r="W426" t="s">
        <v>1</v>
      </c>
      <c r="X426" t="s">
        <v>1</v>
      </c>
      <c r="Y426" t="s">
        <v>1</v>
      </c>
      <c r="Z426" t="s">
        <v>1</v>
      </c>
      <c r="AA426" t="s">
        <v>1</v>
      </c>
      <c r="AB426" t="s">
        <v>1</v>
      </c>
      <c r="AC426" t="s">
        <v>1</v>
      </c>
      <c r="AD426" t="s">
        <v>1</v>
      </c>
      <c r="AE426" t="s">
        <v>1</v>
      </c>
      <c r="AF426" t="s">
        <v>1</v>
      </c>
      <c r="AG426" t="s">
        <v>1</v>
      </c>
      <c r="AH426" t="s">
        <v>1</v>
      </c>
      <c r="AI426" t="s">
        <v>1</v>
      </c>
      <c r="AJ426" t="s">
        <v>1</v>
      </c>
      <c r="AK426" t="s">
        <v>1</v>
      </c>
      <c r="AL426" t="s">
        <v>1</v>
      </c>
      <c r="AM426" t="s">
        <v>1</v>
      </c>
      <c r="AN426">
        <v>394</v>
      </c>
      <c r="AO426">
        <f t="shared" si="54"/>
        <v>394</v>
      </c>
      <c r="AP426">
        <f t="shared" si="55"/>
        <v>70</v>
      </c>
      <c r="AQ426">
        <f t="shared" si="57"/>
        <v>70</v>
      </c>
      <c r="AR426" s="26" t="s">
        <v>1355</v>
      </c>
      <c r="AS426" s="26" t="s">
        <v>1356</v>
      </c>
      <c r="AT426" t="s">
        <v>713</v>
      </c>
      <c r="AU426" t="s">
        <v>1</v>
      </c>
      <c r="AV426" t="s">
        <v>1</v>
      </c>
      <c r="AW426">
        <v>43.3</v>
      </c>
      <c r="AX426">
        <v>-89.35</v>
      </c>
      <c r="AY426" t="s">
        <v>737</v>
      </c>
      <c r="BA426" s="3">
        <v>4</v>
      </c>
      <c r="BB426" s="3"/>
      <c r="BC426" s="3"/>
      <c r="BD426" s="3"/>
      <c r="BE426" s="3"/>
      <c r="BF426">
        <v>1995</v>
      </c>
      <c r="BG426" s="24" t="s">
        <v>733</v>
      </c>
      <c r="BH426" s="24" t="s">
        <v>733</v>
      </c>
      <c r="BI426" s="24" t="s">
        <v>733</v>
      </c>
      <c r="BJ426" s="24" t="s">
        <v>732</v>
      </c>
      <c r="BK426" s="24" t="s">
        <v>733</v>
      </c>
      <c r="BL426" s="25" t="s">
        <v>733</v>
      </c>
      <c r="BM426" s="24" t="s">
        <v>733</v>
      </c>
      <c r="BN426" s="24" t="s">
        <v>732</v>
      </c>
      <c r="BO426" s="24" t="s">
        <v>733</v>
      </c>
      <c r="BP426" s="24" t="s">
        <v>733</v>
      </c>
      <c r="BQ426" s="24" t="s">
        <v>945</v>
      </c>
      <c r="BR426" s="24" t="s">
        <v>945</v>
      </c>
      <c r="BS426" s="25" t="s">
        <v>934</v>
      </c>
      <c r="BT426" s="24" t="s">
        <v>934</v>
      </c>
      <c r="BU426" s="24" t="s">
        <v>934</v>
      </c>
      <c r="BV426" s="24" t="s">
        <v>934</v>
      </c>
      <c r="BW426" s="24" t="s">
        <v>934</v>
      </c>
      <c r="BX426" s="24" t="s">
        <v>934</v>
      </c>
      <c r="BY426" s="25" t="s">
        <v>945</v>
      </c>
      <c r="BZ426" t="s">
        <v>5</v>
      </c>
      <c r="CB426" t="s">
        <v>1</v>
      </c>
      <c r="CC426" s="4">
        <f>10.91*1000*84.5%</f>
        <v>9218.9499999999989</v>
      </c>
      <c r="CD426" s="4"/>
      <c r="CE426" s="4"/>
      <c r="CF426" t="s">
        <v>793</v>
      </c>
      <c r="CG426">
        <v>100</v>
      </c>
      <c r="CH426" t="s">
        <v>805</v>
      </c>
      <c r="CI426" s="28">
        <v>1.6</v>
      </c>
      <c r="CJ426" s="10" t="s">
        <v>1442</v>
      </c>
      <c r="CK426" s="9" t="s">
        <v>1</v>
      </c>
      <c r="CL426" s="4" t="s">
        <v>1</v>
      </c>
      <c r="CM426" s="4" t="s">
        <v>1</v>
      </c>
      <c r="CN426" s="4" t="s">
        <v>1</v>
      </c>
      <c r="CO426" s="4" t="s">
        <v>1</v>
      </c>
      <c r="CP426" s="4" t="s">
        <v>1</v>
      </c>
      <c r="CQ426" s="4" t="s">
        <v>1</v>
      </c>
      <c r="CR426" s="4" t="s">
        <v>1</v>
      </c>
      <c r="CS426" s="4" t="s">
        <v>1</v>
      </c>
      <c r="CT426" s="4" t="s">
        <v>1</v>
      </c>
      <c r="CU426" s="4" t="s">
        <v>1</v>
      </c>
      <c r="CV426" t="s">
        <v>1068</v>
      </c>
      <c r="CW426">
        <v>100</v>
      </c>
      <c r="CX426">
        <v>0</v>
      </c>
      <c r="CY426">
        <v>30</v>
      </c>
      <c r="CZ426" s="26" t="s">
        <v>1358</v>
      </c>
      <c r="DA426" t="s">
        <v>734</v>
      </c>
      <c r="DB426">
        <v>15.5</v>
      </c>
      <c r="DC426">
        <v>0</v>
      </c>
      <c r="DD426">
        <v>30</v>
      </c>
      <c r="DE426" s="26" t="s">
        <v>1358</v>
      </c>
      <c r="DF426" t="s">
        <v>735</v>
      </c>
      <c r="DG426">
        <v>63.5</v>
      </c>
      <c r="DH426">
        <v>0</v>
      </c>
      <c r="DI426">
        <v>30</v>
      </c>
      <c r="DJ426" s="26" t="s">
        <v>1358</v>
      </c>
      <c r="DK426" t="s">
        <v>736</v>
      </c>
      <c r="DL426">
        <v>21</v>
      </c>
      <c r="DM426">
        <v>0</v>
      </c>
      <c r="DN426">
        <v>30</v>
      </c>
      <c r="DO426" s="26" t="s">
        <v>1358</v>
      </c>
      <c r="DP426" t="s">
        <v>6</v>
      </c>
      <c r="DQ426" t="s">
        <v>1</v>
      </c>
      <c r="DR426">
        <v>6.8</v>
      </c>
      <c r="DS426">
        <v>0</v>
      </c>
      <c r="DT426">
        <v>30</v>
      </c>
      <c r="DU426" s="26" t="s">
        <v>1358</v>
      </c>
      <c r="EA426" t="s">
        <v>982</v>
      </c>
      <c r="EB426">
        <v>22</v>
      </c>
      <c r="EC426">
        <v>0</v>
      </c>
      <c r="ED426">
        <v>30</v>
      </c>
      <c r="EE426" s="26" t="s">
        <v>1358</v>
      </c>
      <c r="EF426" s="26"/>
      <c r="FZ426" t="s">
        <v>806</v>
      </c>
      <c r="GA426">
        <v>1269</v>
      </c>
      <c r="GE426" s="26" t="s">
        <v>1358</v>
      </c>
      <c r="HA426" s="5" t="s">
        <v>1</v>
      </c>
      <c r="HB426" s="4" t="s">
        <v>1</v>
      </c>
      <c r="HC426" t="s">
        <v>1</v>
      </c>
      <c r="HD426" t="s">
        <v>1</v>
      </c>
      <c r="HE426" t="s">
        <v>1</v>
      </c>
      <c r="HF426" s="5" t="s">
        <v>1</v>
      </c>
      <c r="HG426" s="4" t="s">
        <v>1</v>
      </c>
      <c r="HH426" t="s">
        <v>1</v>
      </c>
      <c r="HI426" t="s">
        <v>1</v>
      </c>
      <c r="HJ426" t="s">
        <v>1</v>
      </c>
      <c r="HK426" t="s">
        <v>1</v>
      </c>
      <c r="HL426" t="s">
        <v>1</v>
      </c>
      <c r="HM426" t="s">
        <v>1</v>
      </c>
      <c r="HN426" t="s">
        <v>1</v>
      </c>
      <c r="HO426" t="s">
        <v>1</v>
      </c>
      <c r="HP426" t="s">
        <v>1</v>
      </c>
      <c r="HZ426" t="s">
        <v>966</v>
      </c>
      <c r="IA426">
        <v>204</v>
      </c>
      <c r="IB426" s="5" t="s">
        <v>1</v>
      </c>
      <c r="IC426" s="5"/>
      <c r="ID426" s="5"/>
      <c r="IE426" s="10" t="s">
        <v>1</v>
      </c>
      <c r="IF426" s="10" t="s">
        <v>1</v>
      </c>
      <c r="IG426" s="10"/>
      <c r="IH426" s="10"/>
      <c r="II426" s="10"/>
      <c r="IJ426" s="10"/>
      <c r="IK426" s="10"/>
      <c r="IL426" s="10"/>
      <c r="IM426" s="10"/>
      <c r="IN426" s="10"/>
      <c r="IO426" s="10"/>
      <c r="IP426" s="10"/>
      <c r="IQ426" s="10"/>
      <c r="IR426" s="10"/>
      <c r="IS426" t="s">
        <v>1</v>
      </c>
      <c r="IT426" t="s">
        <v>1</v>
      </c>
      <c r="IW426" t="s">
        <v>1</v>
      </c>
      <c r="IX426" t="s">
        <v>1</v>
      </c>
      <c r="IY426" t="s">
        <v>1</v>
      </c>
      <c r="IZ426" t="s">
        <v>1</v>
      </c>
      <c r="JA426" t="s">
        <v>1</v>
      </c>
      <c r="JB426" s="3" t="s">
        <v>1</v>
      </c>
      <c r="JC426" t="s">
        <v>1</v>
      </c>
      <c r="JD426" s="4" t="s">
        <v>1</v>
      </c>
      <c r="JE426" t="s">
        <v>810</v>
      </c>
      <c r="JF426">
        <v>100</v>
      </c>
      <c r="JR426" t="s">
        <v>1066</v>
      </c>
      <c r="JS426">
        <v>371.8</v>
      </c>
      <c r="JU426" t="s">
        <v>1</v>
      </c>
      <c r="JW426" t="s">
        <v>1</v>
      </c>
      <c r="JX426">
        <v>0</v>
      </c>
      <c r="JY426">
        <v>120</v>
      </c>
      <c r="JZ426" t="s">
        <v>800</v>
      </c>
      <c r="KA426" t="s">
        <v>485</v>
      </c>
      <c r="KB426" t="s">
        <v>738</v>
      </c>
      <c r="KC426" t="s">
        <v>1</v>
      </c>
      <c r="KD426" t="s">
        <v>1</v>
      </c>
      <c r="KE426" t="s">
        <v>1</v>
      </c>
      <c r="KF426" t="s">
        <v>1</v>
      </c>
      <c r="KG426" t="s">
        <v>1</v>
      </c>
      <c r="KH426" t="s">
        <v>1</v>
      </c>
      <c r="KI426" t="s">
        <v>1</v>
      </c>
      <c r="KJ426" t="s">
        <v>1</v>
      </c>
      <c r="KK426" t="s">
        <v>1</v>
      </c>
    </row>
    <row r="427" spans="1:297" x14ac:dyDescent="0.2">
      <c r="A427">
        <v>395</v>
      </c>
      <c r="B427" t="s">
        <v>705</v>
      </c>
      <c r="C427" t="s">
        <v>489</v>
      </c>
      <c r="D427" t="s">
        <v>482</v>
      </c>
      <c r="E427">
        <v>70</v>
      </c>
      <c r="F427" t="s">
        <v>483</v>
      </c>
      <c r="G427" t="s">
        <v>1</v>
      </c>
      <c r="H427" s="26" t="s">
        <v>1420</v>
      </c>
      <c r="I427" t="s">
        <v>1</v>
      </c>
      <c r="J427" t="s">
        <v>1</v>
      </c>
      <c r="K427" t="s">
        <v>1</v>
      </c>
      <c r="L427" t="s">
        <v>1</v>
      </c>
      <c r="M427" t="s">
        <v>1</v>
      </c>
      <c r="N427" t="s">
        <v>1</v>
      </c>
      <c r="O427" t="s">
        <v>1</v>
      </c>
      <c r="P427" t="s">
        <v>1</v>
      </c>
      <c r="Q427" t="s">
        <v>1</v>
      </c>
      <c r="R427" t="s">
        <v>1</v>
      </c>
      <c r="S427" t="s">
        <v>1</v>
      </c>
      <c r="T427" t="s">
        <v>1</v>
      </c>
      <c r="U427" t="s">
        <v>1</v>
      </c>
      <c r="V427" t="s">
        <v>1</v>
      </c>
      <c r="W427" t="s">
        <v>1</v>
      </c>
      <c r="X427" t="s">
        <v>1</v>
      </c>
      <c r="Y427" t="s">
        <v>1</v>
      </c>
      <c r="Z427" t="s">
        <v>1</v>
      </c>
      <c r="AA427" t="s">
        <v>1</v>
      </c>
      <c r="AB427" t="s">
        <v>1</v>
      </c>
      <c r="AC427" t="s">
        <v>1</v>
      </c>
      <c r="AD427" t="s">
        <v>1</v>
      </c>
      <c r="AE427" t="s">
        <v>1</v>
      </c>
      <c r="AF427" t="s">
        <v>1</v>
      </c>
      <c r="AG427" t="s">
        <v>1</v>
      </c>
      <c r="AH427" t="s">
        <v>1</v>
      </c>
      <c r="AI427" t="s">
        <v>1</v>
      </c>
      <c r="AJ427" t="s">
        <v>1</v>
      </c>
      <c r="AK427" t="s">
        <v>1</v>
      </c>
      <c r="AL427" t="s">
        <v>1</v>
      </c>
      <c r="AM427" t="s">
        <v>1</v>
      </c>
      <c r="AN427">
        <v>395</v>
      </c>
      <c r="AO427">
        <f t="shared" si="54"/>
        <v>395</v>
      </c>
      <c r="AP427">
        <f t="shared" si="55"/>
        <v>70</v>
      </c>
      <c r="AQ427">
        <f t="shared" si="57"/>
        <v>70</v>
      </c>
      <c r="AR427" s="26" t="s">
        <v>1355</v>
      </c>
      <c r="AS427" s="26" t="s">
        <v>1356</v>
      </c>
      <c r="AT427" t="s">
        <v>713</v>
      </c>
      <c r="AU427" t="s">
        <v>1</v>
      </c>
      <c r="AV427" t="s">
        <v>1</v>
      </c>
      <c r="AW427">
        <v>43.3</v>
      </c>
      <c r="AX427">
        <v>-89.35</v>
      </c>
      <c r="AY427" t="s">
        <v>737</v>
      </c>
      <c r="BA427" s="3">
        <v>4</v>
      </c>
      <c r="BB427" s="3"/>
      <c r="BC427" s="3"/>
      <c r="BD427" s="3"/>
      <c r="BE427" s="3"/>
      <c r="BF427">
        <v>1995</v>
      </c>
      <c r="BG427" s="24" t="s">
        <v>733</v>
      </c>
      <c r="BH427" s="24" t="s">
        <v>733</v>
      </c>
      <c r="BI427" s="24" t="s">
        <v>733</v>
      </c>
      <c r="BJ427" s="24" t="s">
        <v>732</v>
      </c>
      <c r="BK427" s="24" t="s">
        <v>733</v>
      </c>
      <c r="BL427" s="25" t="s">
        <v>733</v>
      </c>
      <c r="BM427" s="24" t="s">
        <v>733</v>
      </c>
      <c r="BN427" s="24" t="s">
        <v>732</v>
      </c>
      <c r="BO427" s="24" t="s">
        <v>733</v>
      </c>
      <c r="BP427" s="24" t="s">
        <v>733</v>
      </c>
      <c r="BQ427" s="24" t="s">
        <v>945</v>
      </c>
      <c r="BR427" s="24" t="s">
        <v>945</v>
      </c>
      <c r="BS427" s="25" t="s">
        <v>934</v>
      </c>
      <c r="BT427" s="24" t="s">
        <v>934</v>
      </c>
      <c r="BU427" s="24" t="s">
        <v>934</v>
      </c>
      <c r="BV427" s="24" t="s">
        <v>934</v>
      </c>
      <c r="BW427" s="24" t="s">
        <v>934</v>
      </c>
      <c r="BX427" s="24" t="s">
        <v>934</v>
      </c>
      <c r="BY427" s="25" t="s">
        <v>945</v>
      </c>
      <c r="BZ427" t="s">
        <v>5</v>
      </c>
      <c r="CB427" t="s">
        <v>1</v>
      </c>
      <c r="CC427" s="4">
        <f>12.86*1000*84.5%</f>
        <v>10866.699999999999</v>
      </c>
      <c r="CD427" s="4"/>
      <c r="CE427" s="4"/>
      <c r="CF427" t="s">
        <v>793</v>
      </c>
      <c r="CG427">
        <v>100</v>
      </c>
      <c r="CH427" t="s">
        <v>805</v>
      </c>
      <c r="CI427" s="28">
        <v>1.6</v>
      </c>
      <c r="CJ427" s="10" t="s">
        <v>1442</v>
      </c>
      <c r="CK427" s="9" t="s">
        <v>1</v>
      </c>
      <c r="CL427" s="4" t="s">
        <v>1</v>
      </c>
      <c r="CM427" s="4" t="s">
        <v>1</v>
      </c>
      <c r="CN427" s="4" t="s">
        <v>1</v>
      </c>
      <c r="CO427" s="4" t="s">
        <v>1</v>
      </c>
      <c r="CP427" s="4" t="s">
        <v>1</v>
      </c>
      <c r="CQ427" s="4" t="s">
        <v>1</v>
      </c>
      <c r="CR427" s="4" t="s">
        <v>1</v>
      </c>
      <c r="CS427" s="4" t="s">
        <v>1</v>
      </c>
      <c r="CT427" s="4" t="s">
        <v>1</v>
      </c>
      <c r="CU427" s="4" t="s">
        <v>1</v>
      </c>
      <c r="CV427" t="s">
        <v>1068</v>
      </c>
      <c r="CW427">
        <v>100</v>
      </c>
      <c r="CX427">
        <v>0</v>
      </c>
      <c r="CY427">
        <v>30</v>
      </c>
      <c r="CZ427" s="26" t="s">
        <v>1358</v>
      </c>
      <c r="DA427" t="s">
        <v>734</v>
      </c>
      <c r="DB427">
        <v>15.5</v>
      </c>
      <c r="DC427">
        <v>0</v>
      </c>
      <c r="DD427">
        <v>30</v>
      </c>
      <c r="DE427" s="26" t="s">
        <v>1358</v>
      </c>
      <c r="DF427" t="s">
        <v>735</v>
      </c>
      <c r="DG427">
        <v>63.5</v>
      </c>
      <c r="DH427">
        <v>0</v>
      </c>
      <c r="DI427">
        <v>30</v>
      </c>
      <c r="DJ427" s="26" t="s">
        <v>1358</v>
      </c>
      <c r="DK427" t="s">
        <v>736</v>
      </c>
      <c r="DL427">
        <v>21</v>
      </c>
      <c r="DM427">
        <v>0</v>
      </c>
      <c r="DN427">
        <v>30</v>
      </c>
      <c r="DO427" s="26" t="s">
        <v>1358</v>
      </c>
      <c r="DP427" t="s">
        <v>6</v>
      </c>
      <c r="DQ427" t="s">
        <v>1</v>
      </c>
      <c r="DR427">
        <v>7</v>
      </c>
      <c r="DS427">
        <v>0</v>
      </c>
      <c r="DT427">
        <v>30</v>
      </c>
      <c r="DU427" s="26" t="s">
        <v>1358</v>
      </c>
      <c r="EA427" t="s">
        <v>982</v>
      </c>
      <c r="EB427">
        <v>27.3</v>
      </c>
      <c r="EC427">
        <v>0</v>
      </c>
      <c r="ED427">
        <v>30</v>
      </c>
      <c r="EE427" s="26" t="s">
        <v>1358</v>
      </c>
      <c r="EF427" s="26"/>
      <c r="FZ427" t="s">
        <v>806</v>
      </c>
      <c r="GA427">
        <v>1269</v>
      </c>
      <c r="GE427" s="26" t="s">
        <v>1358</v>
      </c>
      <c r="HA427" s="5" t="s">
        <v>1</v>
      </c>
      <c r="HB427" s="4" t="s">
        <v>1</v>
      </c>
      <c r="HC427" t="s">
        <v>1</v>
      </c>
      <c r="HD427" t="s">
        <v>1</v>
      </c>
      <c r="HE427" t="s">
        <v>1</v>
      </c>
      <c r="HF427" s="5" t="s">
        <v>1</v>
      </c>
      <c r="HG427" s="4" t="s">
        <v>1</v>
      </c>
      <c r="HH427" t="s">
        <v>1</v>
      </c>
      <c r="HI427" t="s">
        <v>1</v>
      </c>
      <c r="HJ427" t="s">
        <v>1</v>
      </c>
      <c r="HK427" t="s">
        <v>1</v>
      </c>
      <c r="HL427" t="s">
        <v>1</v>
      </c>
      <c r="HM427" t="s">
        <v>1</v>
      </c>
      <c r="HN427" t="s">
        <v>1</v>
      </c>
      <c r="HO427" t="s">
        <v>1</v>
      </c>
      <c r="HP427" t="s">
        <v>1</v>
      </c>
      <c r="HZ427" t="s">
        <v>1</v>
      </c>
      <c r="IA427" t="s">
        <v>1</v>
      </c>
      <c r="IB427" s="10" t="s">
        <v>1</v>
      </c>
      <c r="IC427" s="10"/>
      <c r="ID427" s="10"/>
      <c r="IE427" s="10" t="s">
        <v>1</v>
      </c>
      <c r="IF427" s="10" t="s">
        <v>1</v>
      </c>
      <c r="IG427" s="10"/>
      <c r="IH427" s="10"/>
      <c r="II427" s="10"/>
      <c r="IJ427" s="10"/>
      <c r="IK427" s="10"/>
      <c r="IL427" s="10"/>
      <c r="IM427" s="10"/>
      <c r="IN427" s="10"/>
      <c r="IO427" s="10"/>
      <c r="IP427" s="10"/>
      <c r="IQ427" s="10"/>
      <c r="IR427" s="10"/>
      <c r="IS427" t="s">
        <v>1</v>
      </c>
      <c r="IT427" t="s">
        <v>1</v>
      </c>
      <c r="IW427" t="s">
        <v>1</v>
      </c>
      <c r="IX427" t="s">
        <v>1</v>
      </c>
      <c r="IY427" t="s">
        <v>1</v>
      </c>
      <c r="IZ427" t="s">
        <v>1</v>
      </c>
      <c r="JA427" t="s">
        <v>1</v>
      </c>
      <c r="JB427" s="3" t="s">
        <v>1</v>
      </c>
      <c r="JC427" t="s">
        <v>1</v>
      </c>
      <c r="JD427" s="4" t="s">
        <v>1</v>
      </c>
      <c r="JE427" t="s">
        <v>810</v>
      </c>
      <c r="JF427">
        <v>100</v>
      </c>
      <c r="JR427" t="s">
        <v>1066</v>
      </c>
      <c r="JS427">
        <v>75.3</v>
      </c>
      <c r="JU427" t="s">
        <v>1</v>
      </c>
      <c r="JW427" t="s">
        <v>1</v>
      </c>
      <c r="JX427">
        <v>0</v>
      </c>
      <c r="JY427">
        <v>120</v>
      </c>
      <c r="JZ427" t="s">
        <v>800</v>
      </c>
      <c r="KA427" t="s">
        <v>485</v>
      </c>
      <c r="KB427" t="s">
        <v>738</v>
      </c>
      <c r="KC427" t="s">
        <v>1</v>
      </c>
      <c r="KD427" t="s">
        <v>1</v>
      </c>
      <c r="KE427" t="s">
        <v>1</v>
      </c>
      <c r="KF427" t="s">
        <v>1</v>
      </c>
      <c r="KG427" t="s">
        <v>1</v>
      </c>
      <c r="KH427" t="s">
        <v>1</v>
      </c>
      <c r="KI427" t="s">
        <v>1</v>
      </c>
      <c r="KJ427" t="s">
        <v>1</v>
      </c>
      <c r="KK427" t="s">
        <v>1</v>
      </c>
    </row>
    <row r="428" spans="1:297" x14ac:dyDescent="0.2">
      <c r="A428">
        <v>396</v>
      </c>
      <c r="B428" t="s">
        <v>705</v>
      </c>
      <c r="C428" t="s">
        <v>490</v>
      </c>
      <c r="D428" t="s">
        <v>482</v>
      </c>
      <c r="E428">
        <v>70</v>
      </c>
      <c r="F428" t="s">
        <v>483</v>
      </c>
      <c r="G428" t="s">
        <v>1</v>
      </c>
      <c r="H428" s="26" t="s">
        <v>1420</v>
      </c>
      <c r="I428" t="s">
        <v>1</v>
      </c>
      <c r="J428" t="s">
        <v>1</v>
      </c>
      <c r="K428" t="s">
        <v>1</v>
      </c>
      <c r="L428" t="s">
        <v>1</v>
      </c>
      <c r="M428" t="s">
        <v>1</v>
      </c>
      <c r="N428" t="s">
        <v>1</v>
      </c>
      <c r="O428" t="s">
        <v>1</v>
      </c>
      <c r="P428" t="s">
        <v>1</v>
      </c>
      <c r="Q428" t="s">
        <v>1</v>
      </c>
      <c r="R428" t="s">
        <v>1</v>
      </c>
      <c r="S428" t="s">
        <v>1</v>
      </c>
      <c r="T428" t="s">
        <v>1</v>
      </c>
      <c r="U428" t="s">
        <v>1</v>
      </c>
      <c r="V428" t="s">
        <v>1</v>
      </c>
      <c r="W428" t="s">
        <v>1</v>
      </c>
      <c r="X428" t="s">
        <v>1</v>
      </c>
      <c r="Y428" t="s">
        <v>1</v>
      </c>
      <c r="Z428" t="s">
        <v>1</v>
      </c>
      <c r="AA428" t="s">
        <v>1</v>
      </c>
      <c r="AB428" t="s">
        <v>1</v>
      </c>
      <c r="AC428" t="s">
        <v>1</v>
      </c>
      <c r="AD428" t="s">
        <v>1</v>
      </c>
      <c r="AE428" t="s">
        <v>1</v>
      </c>
      <c r="AF428" t="s">
        <v>1</v>
      </c>
      <c r="AG428" t="s">
        <v>1</v>
      </c>
      <c r="AH428" t="s">
        <v>1</v>
      </c>
      <c r="AI428" t="s">
        <v>1</v>
      </c>
      <c r="AJ428" t="s">
        <v>1</v>
      </c>
      <c r="AK428" t="s">
        <v>1</v>
      </c>
      <c r="AL428" t="s">
        <v>1</v>
      </c>
      <c r="AM428" t="s">
        <v>1</v>
      </c>
      <c r="AN428">
        <v>396</v>
      </c>
      <c r="AO428">
        <f t="shared" si="54"/>
        <v>396</v>
      </c>
      <c r="AP428">
        <f t="shared" si="55"/>
        <v>70</v>
      </c>
      <c r="AQ428">
        <f t="shared" si="57"/>
        <v>70</v>
      </c>
      <c r="AR428" s="26" t="s">
        <v>1355</v>
      </c>
      <c r="AS428" s="26" t="s">
        <v>1356</v>
      </c>
      <c r="AT428" t="s">
        <v>713</v>
      </c>
      <c r="AU428" t="s">
        <v>1</v>
      </c>
      <c r="AV428" t="s">
        <v>1</v>
      </c>
      <c r="AW428">
        <v>43.3</v>
      </c>
      <c r="AX428">
        <v>-89.35</v>
      </c>
      <c r="AY428" t="s">
        <v>737</v>
      </c>
      <c r="BA428" s="3">
        <v>4</v>
      </c>
      <c r="BB428" s="3"/>
      <c r="BC428" s="3"/>
      <c r="BD428" s="3"/>
      <c r="BE428" s="3"/>
      <c r="BF428">
        <v>1995</v>
      </c>
      <c r="BG428" s="24" t="s">
        <v>733</v>
      </c>
      <c r="BH428" s="24" t="s">
        <v>733</v>
      </c>
      <c r="BI428" s="24" t="s">
        <v>733</v>
      </c>
      <c r="BJ428" s="24" t="s">
        <v>732</v>
      </c>
      <c r="BK428" s="24" t="s">
        <v>733</v>
      </c>
      <c r="BL428" s="25" t="s">
        <v>733</v>
      </c>
      <c r="BM428" s="24" t="s">
        <v>733</v>
      </c>
      <c r="BN428" s="24" t="s">
        <v>732</v>
      </c>
      <c r="BO428" s="24" t="s">
        <v>733</v>
      </c>
      <c r="BP428" s="24" t="s">
        <v>733</v>
      </c>
      <c r="BQ428" s="24" t="s">
        <v>945</v>
      </c>
      <c r="BR428" s="24" t="s">
        <v>945</v>
      </c>
      <c r="BS428" s="25" t="s">
        <v>934</v>
      </c>
      <c r="BT428" s="24" t="s">
        <v>934</v>
      </c>
      <c r="BU428" s="24" t="s">
        <v>934</v>
      </c>
      <c r="BV428" s="24" t="s">
        <v>934</v>
      </c>
      <c r="BW428" s="24" t="s">
        <v>934</v>
      </c>
      <c r="BX428" s="24" t="s">
        <v>934</v>
      </c>
      <c r="BY428" s="25" t="s">
        <v>945</v>
      </c>
      <c r="BZ428" t="s">
        <v>5</v>
      </c>
      <c r="CB428" t="s">
        <v>1</v>
      </c>
      <c r="CC428" s="4">
        <f>13.29*1000*84.5%</f>
        <v>11230.05</v>
      </c>
      <c r="CD428" s="4"/>
      <c r="CE428" s="4"/>
      <c r="CF428" t="s">
        <v>793</v>
      </c>
      <c r="CG428">
        <v>100</v>
      </c>
      <c r="CH428" t="s">
        <v>805</v>
      </c>
      <c r="CI428" s="28">
        <v>1.6</v>
      </c>
      <c r="CJ428" s="10" t="s">
        <v>1442</v>
      </c>
      <c r="CK428" s="9" t="s">
        <v>1</v>
      </c>
      <c r="CL428" s="4" t="s">
        <v>1</v>
      </c>
      <c r="CM428" s="4" t="s">
        <v>1</v>
      </c>
      <c r="CN428" s="4" t="s">
        <v>1</v>
      </c>
      <c r="CO428" s="4" t="s">
        <v>1</v>
      </c>
      <c r="CP428" s="4" t="s">
        <v>1</v>
      </c>
      <c r="CQ428" s="4" t="s">
        <v>1</v>
      </c>
      <c r="CR428" s="4" t="s">
        <v>1</v>
      </c>
      <c r="CS428" s="4" t="s">
        <v>1</v>
      </c>
      <c r="CT428" s="4" t="s">
        <v>1</v>
      </c>
      <c r="CU428" s="4" t="s">
        <v>1</v>
      </c>
      <c r="CV428" t="s">
        <v>1068</v>
      </c>
      <c r="CW428">
        <v>100</v>
      </c>
      <c r="CX428">
        <v>0</v>
      </c>
      <c r="CY428">
        <v>30</v>
      </c>
      <c r="CZ428" s="26" t="s">
        <v>1358</v>
      </c>
      <c r="DA428" t="s">
        <v>734</v>
      </c>
      <c r="DB428">
        <v>15.5</v>
      </c>
      <c r="DC428">
        <v>0</v>
      </c>
      <c r="DD428">
        <v>30</v>
      </c>
      <c r="DE428" s="26" t="s">
        <v>1358</v>
      </c>
      <c r="DF428" t="s">
        <v>735</v>
      </c>
      <c r="DG428">
        <v>63.5</v>
      </c>
      <c r="DH428">
        <v>0</v>
      </c>
      <c r="DI428">
        <v>30</v>
      </c>
      <c r="DJ428" s="26" t="s">
        <v>1358</v>
      </c>
      <c r="DK428" t="s">
        <v>736</v>
      </c>
      <c r="DL428">
        <v>21</v>
      </c>
      <c r="DM428">
        <v>0</v>
      </c>
      <c r="DN428">
        <v>30</v>
      </c>
      <c r="DO428" s="26" t="s">
        <v>1358</v>
      </c>
      <c r="DP428" t="s">
        <v>6</v>
      </c>
      <c r="DQ428" t="s">
        <v>1</v>
      </c>
      <c r="DR428">
        <v>7</v>
      </c>
      <c r="DS428">
        <v>0</v>
      </c>
      <c r="DT428">
        <v>30</v>
      </c>
      <c r="DU428" s="26" t="s">
        <v>1358</v>
      </c>
      <c r="EA428" t="s">
        <v>982</v>
      </c>
      <c r="EB428">
        <v>27.3</v>
      </c>
      <c r="EC428">
        <v>0</v>
      </c>
      <c r="ED428">
        <v>30</v>
      </c>
      <c r="EE428" s="26" t="s">
        <v>1358</v>
      </c>
      <c r="EF428" s="26"/>
      <c r="FZ428" t="s">
        <v>806</v>
      </c>
      <c r="GA428">
        <v>1269</v>
      </c>
      <c r="GE428" s="26" t="s">
        <v>1358</v>
      </c>
      <c r="HA428" s="5" t="s">
        <v>1</v>
      </c>
      <c r="HB428" s="4" t="s">
        <v>1</v>
      </c>
      <c r="HC428" t="s">
        <v>1</v>
      </c>
      <c r="HD428" t="s">
        <v>1</v>
      </c>
      <c r="HE428" t="s">
        <v>1</v>
      </c>
      <c r="HF428" s="5" t="s">
        <v>1</v>
      </c>
      <c r="HG428" s="4" t="s">
        <v>1</v>
      </c>
      <c r="HH428" t="s">
        <v>1</v>
      </c>
      <c r="HI428" t="s">
        <v>1</v>
      </c>
      <c r="HJ428" t="s">
        <v>1</v>
      </c>
      <c r="HK428" t="s">
        <v>1</v>
      </c>
      <c r="HL428" t="s">
        <v>1</v>
      </c>
      <c r="HM428" t="s">
        <v>1</v>
      </c>
      <c r="HN428" t="s">
        <v>1</v>
      </c>
      <c r="HO428" t="s">
        <v>1</v>
      </c>
      <c r="HP428" t="s">
        <v>1</v>
      </c>
      <c r="HZ428" t="s">
        <v>966</v>
      </c>
      <c r="IA428">
        <v>204</v>
      </c>
      <c r="IB428" s="5" t="s">
        <v>1</v>
      </c>
      <c r="IC428" s="5"/>
      <c r="ID428" s="5"/>
      <c r="IE428" s="10" t="s">
        <v>1</v>
      </c>
      <c r="IF428" s="10" t="s">
        <v>1</v>
      </c>
      <c r="IG428" s="10"/>
      <c r="IH428" s="10"/>
      <c r="II428" s="10"/>
      <c r="IJ428" s="10"/>
      <c r="IK428" s="10"/>
      <c r="IL428" s="10"/>
      <c r="IM428" s="10"/>
      <c r="IN428" s="10"/>
      <c r="IO428" s="10"/>
      <c r="IP428" s="10"/>
      <c r="IQ428" s="10"/>
      <c r="IR428" s="10"/>
      <c r="IS428" t="s">
        <v>1</v>
      </c>
      <c r="IT428" t="s">
        <v>1</v>
      </c>
      <c r="IW428" t="s">
        <v>1</v>
      </c>
      <c r="IX428" t="s">
        <v>1</v>
      </c>
      <c r="IY428" t="s">
        <v>1</v>
      </c>
      <c r="IZ428" t="s">
        <v>1</v>
      </c>
      <c r="JA428" t="s">
        <v>1</v>
      </c>
      <c r="JB428" s="3" t="s">
        <v>1</v>
      </c>
      <c r="JC428" t="s">
        <v>1</v>
      </c>
      <c r="JD428" s="4" t="s">
        <v>1</v>
      </c>
      <c r="JE428" t="s">
        <v>810</v>
      </c>
      <c r="JF428">
        <v>100</v>
      </c>
      <c r="JR428" t="s">
        <v>1066</v>
      </c>
      <c r="JS428">
        <v>278.89999999999998</v>
      </c>
      <c r="JU428" t="s">
        <v>1</v>
      </c>
      <c r="JW428" t="s">
        <v>1</v>
      </c>
      <c r="JX428">
        <v>0</v>
      </c>
      <c r="JY428">
        <v>120</v>
      </c>
      <c r="JZ428" t="s">
        <v>800</v>
      </c>
      <c r="KA428" t="s">
        <v>485</v>
      </c>
      <c r="KB428" t="s">
        <v>738</v>
      </c>
      <c r="KC428" t="s">
        <v>1</v>
      </c>
      <c r="KD428" t="s">
        <v>1</v>
      </c>
      <c r="KE428" t="s">
        <v>1</v>
      </c>
      <c r="KF428" t="s">
        <v>1</v>
      </c>
      <c r="KG428" t="s">
        <v>1</v>
      </c>
      <c r="KH428" t="s">
        <v>1</v>
      </c>
      <c r="KI428" t="s">
        <v>1</v>
      </c>
      <c r="KJ428" t="s">
        <v>1</v>
      </c>
      <c r="KK428" t="s">
        <v>1</v>
      </c>
    </row>
    <row r="429" spans="1:297" x14ac:dyDescent="0.2">
      <c r="A429">
        <v>397</v>
      </c>
      <c r="B429" t="s">
        <v>705</v>
      </c>
      <c r="C429" t="s">
        <v>491</v>
      </c>
      <c r="D429" t="s">
        <v>482</v>
      </c>
      <c r="E429">
        <v>70</v>
      </c>
      <c r="F429" t="s">
        <v>483</v>
      </c>
      <c r="G429" t="s">
        <v>1</v>
      </c>
      <c r="H429" s="26" t="s">
        <v>1420</v>
      </c>
      <c r="I429" t="s">
        <v>1</v>
      </c>
      <c r="J429" t="s">
        <v>1</v>
      </c>
      <c r="K429" t="s">
        <v>1</v>
      </c>
      <c r="L429" t="s">
        <v>1</v>
      </c>
      <c r="M429" t="s">
        <v>1</v>
      </c>
      <c r="N429" t="s">
        <v>1</v>
      </c>
      <c r="O429" t="s">
        <v>1</v>
      </c>
      <c r="P429" t="s">
        <v>1</v>
      </c>
      <c r="Q429" t="s">
        <v>1</v>
      </c>
      <c r="R429" t="s">
        <v>1</v>
      </c>
      <c r="S429" t="s">
        <v>1</v>
      </c>
      <c r="T429" t="s">
        <v>1</v>
      </c>
      <c r="U429" t="s">
        <v>1</v>
      </c>
      <c r="V429" t="s">
        <v>1</v>
      </c>
      <c r="W429" t="s">
        <v>1</v>
      </c>
      <c r="X429" t="s">
        <v>1</v>
      </c>
      <c r="Y429" t="s">
        <v>1</v>
      </c>
      <c r="Z429" t="s">
        <v>1</v>
      </c>
      <c r="AA429" t="s">
        <v>1</v>
      </c>
      <c r="AB429" t="s">
        <v>1</v>
      </c>
      <c r="AC429" t="s">
        <v>1</v>
      </c>
      <c r="AD429" t="s">
        <v>1</v>
      </c>
      <c r="AE429" t="s">
        <v>1</v>
      </c>
      <c r="AF429" t="s">
        <v>1</v>
      </c>
      <c r="AG429" t="s">
        <v>1</v>
      </c>
      <c r="AH429" t="s">
        <v>1</v>
      </c>
      <c r="AI429" t="s">
        <v>1</v>
      </c>
      <c r="AJ429" t="s">
        <v>1</v>
      </c>
      <c r="AK429" t="s">
        <v>1</v>
      </c>
      <c r="AL429" t="s">
        <v>1</v>
      </c>
      <c r="AM429" t="s">
        <v>1</v>
      </c>
      <c r="AN429">
        <v>397</v>
      </c>
      <c r="AO429">
        <f t="shared" si="54"/>
        <v>397</v>
      </c>
      <c r="AP429">
        <f t="shared" si="55"/>
        <v>70</v>
      </c>
      <c r="AQ429">
        <f t="shared" si="57"/>
        <v>70</v>
      </c>
      <c r="AR429" s="26" t="s">
        <v>1355</v>
      </c>
      <c r="AS429" s="26" t="s">
        <v>1356</v>
      </c>
      <c r="AT429" t="s">
        <v>713</v>
      </c>
      <c r="AU429" t="s">
        <v>1</v>
      </c>
      <c r="AV429" t="s">
        <v>1</v>
      </c>
      <c r="AW429">
        <v>43.3</v>
      </c>
      <c r="AX429">
        <v>-89.35</v>
      </c>
      <c r="AY429" t="s">
        <v>737</v>
      </c>
      <c r="BA429" s="3">
        <v>4</v>
      </c>
      <c r="BB429" s="3"/>
      <c r="BC429" s="3"/>
      <c r="BD429" s="3"/>
      <c r="BE429" s="3"/>
      <c r="BF429">
        <v>1995</v>
      </c>
      <c r="BG429" s="24" t="s">
        <v>733</v>
      </c>
      <c r="BH429" s="24" t="s">
        <v>733</v>
      </c>
      <c r="BI429" s="24" t="s">
        <v>733</v>
      </c>
      <c r="BJ429" s="24" t="s">
        <v>732</v>
      </c>
      <c r="BK429" s="24" t="s">
        <v>733</v>
      </c>
      <c r="BL429" s="25" t="s">
        <v>733</v>
      </c>
      <c r="BM429" s="24" t="s">
        <v>733</v>
      </c>
      <c r="BN429" s="24" t="s">
        <v>732</v>
      </c>
      <c r="BO429" s="24" t="s">
        <v>733</v>
      </c>
      <c r="BP429" s="24" t="s">
        <v>733</v>
      </c>
      <c r="BQ429" s="24" t="s">
        <v>945</v>
      </c>
      <c r="BR429" s="24" t="s">
        <v>945</v>
      </c>
      <c r="BS429" s="25" t="s">
        <v>934</v>
      </c>
      <c r="BT429" s="24" t="s">
        <v>934</v>
      </c>
      <c r="BU429" s="24" t="s">
        <v>934</v>
      </c>
      <c r="BV429" s="24" t="s">
        <v>934</v>
      </c>
      <c r="BW429" s="24" t="s">
        <v>934</v>
      </c>
      <c r="BX429" s="24" t="s">
        <v>934</v>
      </c>
      <c r="BY429" s="25" t="s">
        <v>945</v>
      </c>
      <c r="BZ429" t="s">
        <v>5</v>
      </c>
      <c r="CB429" t="s">
        <v>1</v>
      </c>
      <c r="CC429" s="4">
        <f>12.67*1000*84.5%</f>
        <v>10706.15</v>
      </c>
      <c r="CD429" s="4"/>
      <c r="CE429" s="4"/>
      <c r="CF429" t="s">
        <v>793</v>
      </c>
      <c r="CG429">
        <v>100</v>
      </c>
      <c r="CH429" t="s">
        <v>805</v>
      </c>
      <c r="CI429" s="28">
        <v>1.6</v>
      </c>
      <c r="CJ429" s="10" t="s">
        <v>1442</v>
      </c>
      <c r="CK429" s="9" t="s">
        <v>1</v>
      </c>
      <c r="CL429" s="4" t="s">
        <v>1</v>
      </c>
      <c r="CM429" s="4" t="s">
        <v>1</v>
      </c>
      <c r="CN429" s="4" t="s">
        <v>1</v>
      </c>
      <c r="CO429" s="4" t="s">
        <v>1</v>
      </c>
      <c r="CP429" s="4" t="s">
        <v>1</v>
      </c>
      <c r="CQ429" s="4" t="s">
        <v>1</v>
      </c>
      <c r="CR429" s="4" t="s">
        <v>1</v>
      </c>
      <c r="CS429" s="4" t="s">
        <v>1</v>
      </c>
      <c r="CT429" s="4" t="s">
        <v>1</v>
      </c>
      <c r="CU429" s="4" t="s">
        <v>1</v>
      </c>
      <c r="CV429" t="s">
        <v>1068</v>
      </c>
      <c r="CW429">
        <v>100</v>
      </c>
      <c r="CX429">
        <v>0</v>
      </c>
      <c r="CY429">
        <v>30</v>
      </c>
      <c r="CZ429" s="26" t="s">
        <v>1358</v>
      </c>
      <c r="DA429" t="s">
        <v>734</v>
      </c>
      <c r="DB429">
        <v>15.5</v>
      </c>
      <c r="DC429">
        <v>0</v>
      </c>
      <c r="DD429">
        <v>30</v>
      </c>
      <c r="DE429" s="26" t="s">
        <v>1358</v>
      </c>
      <c r="DF429" t="s">
        <v>735</v>
      </c>
      <c r="DG429">
        <v>63.5</v>
      </c>
      <c r="DH429">
        <v>0</v>
      </c>
      <c r="DI429">
        <v>30</v>
      </c>
      <c r="DJ429" s="26" t="s">
        <v>1358</v>
      </c>
      <c r="DK429" t="s">
        <v>736</v>
      </c>
      <c r="DL429">
        <v>21</v>
      </c>
      <c r="DM429">
        <v>0</v>
      </c>
      <c r="DN429">
        <v>30</v>
      </c>
      <c r="DO429" s="26" t="s">
        <v>1358</v>
      </c>
      <c r="DP429" t="s">
        <v>6</v>
      </c>
      <c r="DQ429" t="s">
        <v>1</v>
      </c>
      <c r="DR429">
        <v>6.9</v>
      </c>
      <c r="DS429">
        <v>0</v>
      </c>
      <c r="DT429">
        <v>30</v>
      </c>
      <c r="DU429" s="26" t="s">
        <v>1358</v>
      </c>
      <c r="EA429" t="s">
        <v>982</v>
      </c>
      <c r="EB429">
        <v>22.599999999999998</v>
      </c>
      <c r="EC429">
        <v>0</v>
      </c>
      <c r="ED429">
        <v>30</v>
      </c>
      <c r="EE429" s="26" t="s">
        <v>1358</v>
      </c>
      <c r="EF429" s="26"/>
      <c r="FZ429" t="s">
        <v>806</v>
      </c>
      <c r="GA429">
        <v>1269</v>
      </c>
      <c r="GE429" s="26" t="s">
        <v>1358</v>
      </c>
      <c r="HA429" s="5" t="s">
        <v>1</v>
      </c>
      <c r="HB429" s="4" t="s">
        <v>1</v>
      </c>
      <c r="HC429" t="s">
        <v>1</v>
      </c>
      <c r="HD429" t="s">
        <v>1</v>
      </c>
      <c r="HE429" t="s">
        <v>1</v>
      </c>
      <c r="HF429" s="5" t="s">
        <v>1</v>
      </c>
      <c r="HG429" s="4" t="s">
        <v>1</v>
      </c>
      <c r="HH429" t="s">
        <v>1</v>
      </c>
      <c r="HI429" t="s">
        <v>1</v>
      </c>
      <c r="HJ429" t="s">
        <v>1</v>
      </c>
      <c r="HK429" t="s">
        <v>1</v>
      </c>
      <c r="HL429" t="s">
        <v>1</v>
      </c>
      <c r="HM429" t="s">
        <v>1</v>
      </c>
      <c r="HN429" t="s">
        <v>1</v>
      </c>
      <c r="HO429" t="s">
        <v>1</v>
      </c>
      <c r="HP429" t="s">
        <v>1</v>
      </c>
      <c r="HZ429" t="s">
        <v>1</v>
      </c>
      <c r="IA429" t="s">
        <v>1</v>
      </c>
      <c r="IB429" s="10" t="s">
        <v>1</v>
      </c>
      <c r="IC429" s="10"/>
      <c r="ID429" s="10"/>
      <c r="IE429" s="10" t="s">
        <v>1</v>
      </c>
      <c r="IF429" s="10" t="s">
        <v>1</v>
      </c>
      <c r="IG429" s="10"/>
      <c r="IH429" s="10"/>
      <c r="II429" s="10"/>
      <c r="IJ429" s="10"/>
      <c r="IK429" s="10"/>
      <c r="IL429" s="10"/>
      <c r="IM429" s="10"/>
      <c r="IN429" s="10"/>
      <c r="IO429" s="10"/>
      <c r="IP429" s="10"/>
      <c r="IQ429" s="10"/>
      <c r="IR429" s="10"/>
      <c r="IS429" t="s">
        <v>1</v>
      </c>
      <c r="IT429" t="s">
        <v>1</v>
      </c>
      <c r="IW429" t="s">
        <v>1</v>
      </c>
      <c r="IX429" t="s">
        <v>1</v>
      </c>
      <c r="IY429" t="s">
        <v>1</v>
      </c>
      <c r="IZ429" t="s">
        <v>1</v>
      </c>
      <c r="JA429" t="s">
        <v>1</v>
      </c>
      <c r="JB429" s="3" t="s">
        <v>1</v>
      </c>
      <c r="JC429" t="s">
        <v>1</v>
      </c>
      <c r="JD429" s="4" t="s">
        <v>1</v>
      </c>
      <c r="JE429" t="s">
        <v>810</v>
      </c>
      <c r="JF429">
        <v>100</v>
      </c>
      <c r="JR429" t="s">
        <v>1066</v>
      </c>
      <c r="JS429">
        <v>88.5</v>
      </c>
      <c r="JU429" t="s">
        <v>1</v>
      </c>
      <c r="JW429" t="s">
        <v>1</v>
      </c>
      <c r="JX429">
        <v>0</v>
      </c>
      <c r="JY429">
        <v>120</v>
      </c>
      <c r="JZ429" t="s">
        <v>800</v>
      </c>
      <c r="KA429" t="s">
        <v>485</v>
      </c>
      <c r="KB429" t="s">
        <v>738</v>
      </c>
      <c r="KC429" t="s">
        <v>1</v>
      </c>
      <c r="KD429" t="s">
        <v>1</v>
      </c>
      <c r="KE429" t="s">
        <v>1</v>
      </c>
      <c r="KF429" t="s">
        <v>1</v>
      </c>
      <c r="KG429" t="s">
        <v>1</v>
      </c>
      <c r="KH429" t="s">
        <v>1</v>
      </c>
      <c r="KI429" t="s">
        <v>1</v>
      </c>
      <c r="KJ429" t="s">
        <v>1</v>
      </c>
      <c r="KK429" t="s">
        <v>1</v>
      </c>
    </row>
    <row r="430" spans="1:297" x14ac:dyDescent="0.2">
      <c r="A430">
        <v>398</v>
      </c>
      <c r="B430" t="s">
        <v>705</v>
      </c>
      <c r="C430" t="s">
        <v>492</v>
      </c>
      <c r="D430" t="s">
        <v>482</v>
      </c>
      <c r="E430">
        <v>70</v>
      </c>
      <c r="F430" t="s">
        <v>483</v>
      </c>
      <c r="G430" t="s">
        <v>1</v>
      </c>
      <c r="H430" s="26" t="s">
        <v>1420</v>
      </c>
      <c r="I430" t="s">
        <v>1</v>
      </c>
      <c r="J430" t="s">
        <v>1</v>
      </c>
      <c r="K430" t="s">
        <v>1</v>
      </c>
      <c r="L430" t="s">
        <v>1</v>
      </c>
      <c r="M430" t="s">
        <v>1</v>
      </c>
      <c r="N430" t="s">
        <v>1</v>
      </c>
      <c r="O430" t="s">
        <v>1</v>
      </c>
      <c r="P430" t="s">
        <v>1</v>
      </c>
      <c r="Q430" t="s">
        <v>1</v>
      </c>
      <c r="R430" t="s">
        <v>1</v>
      </c>
      <c r="S430" t="s">
        <v>1</v>
      </c>
      <c r="T430" t="s">
        <v>1</v>
      </c>
      <c r="U430" t="s">
        <v>1</v>
      </c>
      <c r="V430" t="s">
        <v>1</v>
      </c>
      <c r="W430" t="s">
        <v>1</v>
      </c>
      <c r="X430" t="s">
        <v>1</v>
      </c>
      <c r="Y430" t="s">
        <v>1</v>
      </c>
      <c r="Z430" t="s">
        <v>1</v>
      </c>
      <c r="AA430" t="s">
        <v>1</v>
      </c>
      <c r="AB430" t="s">
        <v>1</v>
      </c>
      <c r="AC430" t="s">
        <v>1</v>
      </c>
      <c r="AD430" t="s">
        <v>1</v>
      </c>
      <c r="AE430" t="s">
        <v>1</v>
      </c>
      <c r="AF430" t="s">
        <v>1</v>
      </c>
      <c r="AG430" t="s">
        <v>1</v>
      </c>
      <c r="AH430" t="s">
        <v>1</v>
      </c>
      <c r="AI430" t="s">
        <v>1</v>
      </c>
      <c r="AJ430" t="s">
        <v>1</v>
      </c>
      <c r="AK430" t="s">
        <v>1</v>
      </c>
      <c r="AL430" t="s">
        <v>1</v>
      </c>
      <c r="AM430" t="s">
        <v>1</v>
      </c>
      <c r="AN430">
        <v>398</v>
      </c>
      <c r="AO430">
        <f t="shared" si="54"/>
        <v>398</v>
      </c>
      <c r="AP430">
        <f t="shared" si="55"/>
        <v>70</v>
      </c>
      <c r="AQ430">
        <f t="shared" si="57"/>
        <v>70</v>
      </c>
      <c r="AR430" s="26" t="s">
        <v>1355</v>
      </c>
      <c r="AS430" s="26" t="s">
        <v>1356</v>
      </c>
      <c r="AT430" t="s">
        <v>713</v>
      </c>
      <c r="AU430" t="s">
        <v>1</v>
      </c>
      <c r="AV430" t="s">
        <v>1</v>
      </c>
      <c r="AW430">
        <v>43.3</v>
      </c>
      <c r="AX430">
        <v>-89.35</v>
      </c>
      <c r="AY430" t="s">
        <v>737</v>
      </c>
      <c r="BA430" s="3">
        <v>4</v>
      </c>
      <c r="BB430" s="3"/>
      <c r="BC430" s="3"/>
      <c r="BD430" s="3"/>
      <c r="BE430" s="3"/>
      <c r="BF430">
        <v>1995</v>
      </c>
      <c r="BG430" s="24" t="s">
        <v>733</v>
      </c>
      <c r="BH430" s="24" t="s">
        <v>733</v>
      </c>
      <c r="BI430" s="24" t="s">
        <v>733</v>
      </c>
      <c r="BJ430" s="24" t="s">
        <v>732</v>
      </c>
      <c r="BK430" s="24" t="s">
        <v>733</v>
      </c>
      <c r="BL430" s="25" t="s">
        <v>733</v>
      </c>
      <c r="BM430" s="24" t="s">
        <v>733</v>
      </c>
      <c r="BN430" s="24" t="s">
        <v>732</v>
      </c>
      <c r="BO430" s="24" t="s">
        <v>733</v>
      </c>
      <c r="BP430" s="24" t="s">
        <v>733</v>
      </c>
      <c r="BQ430" s="24" t="s">
        <v>945</v>
      </c>
      <c r="BR430" s="24" t="s">
        <v>945</v>
      </c>
      <c r="BS430" s="25" t="s">
        <v>934</v>
      </c>
      <c r="BT430" s="24" t="s">
        <v>934</v>
      </c>
      <c r="BU430" s="24" t="s">
        <v>934</v>
      </c>
      <c r="BV430" s="24" t="s">
        <v>934</v>
      </c>
      <c r="BW430" s="24" t="s">
        <v>934</v>
      </c>
      <c r="BX430" s="24" t="s">
        <v>934</v>
      </c>
      <c r="BY430" s="25" t="s">
        <v>945</v>
      </c>
      <c r="BZ430" t="s">
        <v>5</v>
      </c>
      <c r="CB430" t="s">
        <v>1</v>
      </c>
      <c r="CC430" s="4">
        <f>12.86*1000*84.5%</f>
        <v>10866.699999999999</v>
      </c>
      <c r="CD430" s="4"/>
      <c r="CE430" s="4"/>
      <c r="CF430" t="s">
        <v>793</v>
      </c>
      <c r="CG430">
        <v>100</v>
      </c>
      <c r="CH430" t="s">
        <v>805</v>
      </c>
      <c r="CI430" s="28">
        <v>1.6</v>
      </c>
      <c r="CJ430" s="10" t="s">
        <v>1442</v>
      </c>
      <c r="CK430" s="9" t="s">
        <v>1</v>
      </c>
      <c r="CL430" s="4" t="s">
        <v>1</v>
      </c>
      <c r="CM430" s="4" t="s">
        <v>1</v>
      </c>
      <c r="CN430" s="4" t="s">
        <v>1</v>
      </c>
      <c r="CO430" s="4" t="s">
        <v>1</v>
      </c>
      <c r="CP430" s="4" t="s">
        <v>1</v>
      </c>
      <c r="CQ430" s="4" t="s">
        <v>1</v>
      </c>
      <c r="CR430" s="4" t="s">
        <v>1</v>
      </c>
      <c r="CS430" s="4" t="s">
        <v>1</v>
      </c>
      <c r="CT430" s="4" t="s">
        <v>1</v>
      </c>
      <c r="CU430" s="4" t="s">
        <v>1</v>
      </c>
      <c r="CV430" t="s">
        <v>1068</v>
      </c>
      <c r="CW430">
        <v>100</v>
      </c>
      <c r="CX430">
        <v>0</v>
      </c>
      <c r="CY430">
        <v>30</v>
      </c>
      <c r="CZ430" s="26" t="s">
        <v>1358</v>
      </c>
      <c r="DA430" t="s">
        <v>734</v>
      </c>
      <c r="DB430">
        <v>15.5</v>
      </c>
      <c r="DC430">
        <v>0</v>
      </c>
      <c r="DD430">
        <v>30</v>
      </c>
      <c r="DE430" s="26" t="s">
        <v>1358</v>
      </c>
      <c r="DF430" t="s">
        <v>735</v>
      </c>
      <c r="DG430">
        <v>63.5</v>
      </c>
      <c r="DH430">
        <v>0</v>
      </c>
      <c r="DI430">
        <v>30</v>
      </c>
      <c r="DJ430" s="26" t="s">
        <v>1358</v>
      </c>
      <c r="DK430" t="s">
        <v>736</v>
      </c>
      <c r="DL430">
        <v>21</v>
      </c>
      <c r="DM430">
        <v>0</v>
      </c>
      <c r="DN430">
        <v>30</v>
      </c>
      <c r="DO430" s="26" t="s">
        <v>1358</v>
      </c>
      <c r="DP430" t="s">
        <v>6</v>
      </c>
      <c r="DQ430" t="s">
        <v>1</v>
      </c>
      <c r="DR430">
        <v>6.9</v>
      </c>
      <c r="DS430">
        <v>0</v>
      </c>
      <c r="DT430">
        <v>30</v>
      </c>
      <c r="DU430" s="26" t="s">
        <v>1358</v>
      </c>
      <c r="EA430" t="s">
        <v>982</v>
      </c>
      <c r="EB430">
        <v>22.599999999999998</v>
      </c>
      <c r="EC430">
        <v>0</v>
      </c>
      <c r="ED430">
        <v>30</v>
      </c>
      <c r="EE430" s="26" t="s">
        <v>1358</v>
      </c>
      <c r="EF430" s="26"/>
      <c r="FZ430" t="s">
        <v>806</v>
      </c>
      <c r="GA430">
        <v>1269</v>
      </c>
      <c r="GE430" s="26" t="s">
        <v>1358</v>
      </c>
      <c r="HA430" s="5" t="s">
        <v>1</v>
      </c>
      <c r="HB430" s="4" t="s">
        <v>1</v>
      </c>
      <c r="HC430" t="s">
        <v>1</v>
      </c>
      <c r="HD430" t="s">
        <v>1</v>
      </c>
      <c r="HE430" t="s">
        <v>1</v>
      </c>
      <c r="HF430" s="5" t="s">
        <v>1</v>
      </c>
      <c r="HG430" s="4" t="s">
        <v>1</v>
      </c>
      <c r="HH430" t="s">
        <v>1</v>
      </c>
      <c r="HI430" t="s">
        <v>1</v>
      </c>
      <c r="HJ430" t="s">
        <v>1</v>
      </c>
      <c r="HK430" t="s">
        <v>1</v>
      </c>
      <c r="HL430" t="s">
        <v>1</v>
      </c>
      <c r="HM430" t="s">
        <v>1</v>
      </c>
      <c r="HN430" t="s">
        <v>1</v>
      </c>
      <c r="HO430" t="s">
        <v>1</v>
      </c>
      <c r="HP430" t="s">
        <v>1</v>
      </c>
      <c r="HZ430" t="s">
        <v>966</v>
      </c>
      <c r="IA430">
        <v>204</v>
      </c>
      <c r="IB430" s="5" t="s">
        <v>1</v>
      </c>
      <c r="IC430" s="5"/>
      <c r="ID430" s="5"/>
      <c r="IE430" s="10" t="s">
        <v>1</v>
      </c>
      <c r="IF430" s="10" t="s">
        <v>1</v>
      </c>
      <c r="IG430" s="10"/>
      <c r="IH430" s="10"/>
      <c r="II430" s="10"/>
      <c r="IJ430" s="10"/>
      <c r="IK430" s="10"/>
      <c r="IL430" s="10"/>
      <c r="IM430" s="10"/>
      <c r="IN430" s="10"/>
      <c r="IO430" s="10"/>
      <c r="IP430" s="10"/>
      <c r="IQ430" s="10"/>
      <c r="IR430" s="10"/>
      <c r="IS430" t="s">
        <v>1</v>
      </c>
      <c r="IT430" t="s">
        <v>1</v>
      </c>
      <c r="IW430" t="s">
        <v>1</v>
      </c>
      <c r="IX430" t="s">
        <v>1</v>
      </c>
      <c r="IY430" t="s">
        <v>1</v>
      </c>
      <c r="IZ430" t="s">
        <v>1</v>
      </c>
      <c r="JA430" t="s">
        <v>1</v>
      </c>
      <c r="JB430" s="3" t="s">
        <v>1</v>
      </c>
      <c r="JC430" t="s">
        <v>1</v>
      </c>
      <c r="JD430" s="4" t="s">
        <v>1</v>
      </c>
      <c r="JE430" t="s">
        <v>810</v>
      </c>
      <c r="JF430">
        <v>100</v>
      </c>
      <c r="JR430" t="s">
        <v>1066</v>
      </c>
      <c r="JS430">
        <v>323.10000000000002</v>
      </c>
      <c r="JU430" t="s">
        <v>1</v>
      </c>
      <c r="JW430" t="s">
        <v>1</v>
      </c>
      <c r="JX430">
        <v>0</v>
      </c>
      <c r="JY430">
        <v>120</v>
      </c>
      <c r="JZ430" t="s">
        <v>800</v>
      </c>
      <c r="KA430" t="s">
        <v>485</v>
      </c>
      <c r="KB430" t="s">
        <v>738</v>
      </c>
      <c r="KC430" t="s">
        <v>1</v>
      </c>
      <c r="KD430" t="s">
        <v>1</v>
      </c>
      <c r="KE430" t="s">
        <v>1</v>
      </c>
      <c r="KF430" t="s">
        <v>1</v>
      </c>
      <c r="KG430" t="s">
        <v>1</v>
      </c>
      <c r="KH430" t="s">
        <v>1</v>
      </c>
      <c r="KI430" t="s">
        <v>1</v>
      </c>
      <c r="KJ430" t="s">
        <v>1</v>
      </c>
      <c r="KK430" t="s">
        <v>1</v>
      </c>
    </row>
    <row r="431" spans="1:297" x14ac:dyDescent="0.2">
      <c r="A431">
        <v>399</v>
      </c>
      <c r="B431" t="s">
        <v>705</v>
      </c>
      <c r="C431" t="s">
        <v>495</v>
      </c>
      <c r="D431" t="s">
        <v>493</v>
      </c>
      <c r="E431">
        <v>71</v>
      </c>
      <c r="F431" t="s">
        <v>494</v>
      </c>
      <c r="G431" t="s">
        <v>1</v>
      </c>
      <c r="H431" s="26" t="s">
        <v>1420</v>
      </c>
      <c r="I431" t="s">
        <v>1</v>
      </c>
      <c r="J431" t="s">
        <v>1</v>
      </c>
      <c r="K431" t="s">
        <v>1</v>
      </c>
      <c r="L431" t="s">
        <v>1</v>
      </c>
      <c r="M431" t="s">
        <v>1</v>
      </c>
      <c r="N431" t="s">
        <v>1</v>
      </c>
      <c r="O431" t="s">
        <v>1</v>
      </c>
      <c r="P431" t="s">
        <v>1</v>
      </c>
      <c r="Q431" t="s">
        <v>1</v>
      </c>
      <c r="R431" t="s">
        <v>1</v>
      </c>
      <c r="S431" t="s">
        <v>1</v>
      </c>
      <c r="T431" t="s">
        <v>1</v>
      </c>
      <c r="U431" t="s">
        <v>1</v>
      </c>
      <c r="V431" t="s">
        <v>1</v>
      </c>
      <c r="W431" t="s">
        <v>1</v>
      </c>
      <c r="X431" t="s">
        <v>1</v>
      </c>
      <c r="Y431" t="s">
        <v>1</v>
      </c>
      <c r="Z431" t="s">
        <v>1</v>
      </c>
      <c r="AA431" t="s">
        <v>1</v>
      </c>
      <c r="AB431" t="s">
        <v>1</v>
      </c>
      <c r="AC431" t="s">
        <v>1</v>
      </c>
      <c r="AD431" t="s">
        <v>1</v>
      </c>
      <c r="AE431" t="s">
        <v>1</v>
      </c>
      <c r="AF431" t="s">
        <v>1</v>
      </c>
      <c r="AG431" t="s">
        <v>1</v>
      </c>
      <c r="AH431" t="s">
        <v>1</v>
      </c>
      <c r="AI431" t="s">
        <v>1</v>
      </c>
      <c r="AJ431" t="s">
        <v>1</v>
      </c>
      <c r="AK431" t="s">
        <v>1</v>
      </c>
      <c r="AL431" t="s">
        <v>1</v>
      </c>
      <c r="AM431" t="s">
        <v>1</v>
      </c>
      <c r="AN431">
        <v>399</v>
      </c>
      <c r="AO431">
        <f t="shared" si="54"/>
        <v>399</v>
      </c>
      <c r="AP431">
        <f t="shared" si="55"/>
        <v>71</v>
      </c>
      <c r="AQ431">
        <f t="shared" si="57"/>
        <v>71</v>
      </c>
      <c r="AR431" s="26" t="s">
        <v>1355</v>
      </c>
      <c r="AS431" s="26" t="s">
        <v>1356</v>
      </c>
      <c r="AT431" t="s">
        <v>712</v>
      </c>
      <c r="AU431" t="s">
        <v>1</v>
      </c>
      <c r="AV431" t="s">
        <v>1</v>
      </c>
      <c r="AW431">
        <v>42.22</v>
      </c>
      <c r="AX431">
        <v>-82.73</v>
      </c>
      <c r="AY431" t="s">
        <v>737</v>
      </c>
      <c r="BA431" s="3">
        <v>1</v>
      </c>
      <c r="BB431" s="3"/>
      <c r="BC431" s="3"/>
      <c r="BD431" s="3"/>
      <c r="BE431" s="3"/>
      <c r="BF431">
        <v>1998</v>
      </c>
      <c r="BG431" s="24" t="s">
        <v>733</v>
      </c>
      <c r="BH431" s="24" t="s">
        <v>733</v>
      </c>
      <c r="BI431" s="24" t="s">
        <v>733</v>
      </c>
      <c r="BJ431" s="24" t="s">
        <v>732</v>
      </c>
      <c r="BK431" s="24" t="s">
        <v>733</v>
      </c>
      <c r="BL431" s="25" t="s">
        <v>733</v>
      </c>
      <c r="BM431" s="24" t="s">
        <v>733</v>
      </c>
      <c r="BN431" s="24" t="s">
        <v>732</v>
      </c>
      <c r="BO431" s="24" t="s">
        <v>733</v>
      </c>
      <c r="BP431" s="24" t="s">
        <v>733</v>
      </c>
      <c r="BQ431" s="24" t="s">
        <v>945</v>
      </c>
      <c r="BR431" s="24" t="s">
        <v>945</v>
      </c>
      <c r="BS431" s="25" t="s">
        <v>934</v>
      </c>
      <c r="BT431" s="24" t="s">
        <v>934</v>
      </c>
      <c r="BU431" s="24" t="s">
        <v>934</v>
      </c>
      <c r="BV431" s="24" t="s">
        <v>934</v>
      </c>
      <c r="BW431" s="24" t="s">
        <v>934</v>
      </c>
      <c r="BX431" s="24" t="s">
        <v>934</v>
      </c>
      <c r="BY431" s="25" t="s">
        <v>945</v>
      </c>
      <c r="BZ431" t="s">
        <v>5</v>
      </c>
      <c r="CB431" t="s">
        <v>1</v>
      </c>
      <c r="CC431" s="4">
        <f>AVERAGE(1.15,0.48,0.2)*1000*84.5%</f>
        <v>515.44999999999993</v>
      </c>
      <c r="CD431" s="4"/>
      <c r="CE431" s="4"/>
      <c r="CF431" t="s">
        <v>793</v>
      </c>
      <c r="CG431">
        <v>100</v>
      </c>
      <c r="CH431" t="s">
        <v>805</v>
      </c>
      <c r="CI431" s="28">
        <v>1.6</v>
      </c>
      <c r="CJ431" s="10" t="s">
        <v>1442</v>
      </c>
      <c r="CK431" s="9" t="s">
        <v>1</v>
      </c>
      <c r="CL431" s="4" t="s">
        <v>1</v>
      </c>
      <c r="CM431" s="4" t="s">
        <v>1</v>
      </c>
      <c r="CN431" s="4" t="s">
        <v>1</v>
      </c>
      <c r="CO431" s="4" t="s">
        <v>1</v>
      </c>
      <c r="CP431" s="4" t="s">
        <v>1</v>
      </c>
      <c r="CQ431" s="4" t="s">
        <v>1</v>
      </c>
      <c r="CR431" s="4" t="s">
        <v>1</v>
      </c>
      <c r="CS431" s="4" t="s">
        <v>1</v>
      </c>
      <c r="CT431" s="4" t="s">
        <v>1</v>
      </c>
      <c r="CU431" s="4" t="s">
        <v>1</v>
      </c>
      <c r="CV431" t="s">
        <v>850</v>
      </c>
      <c r="CW431">
        <v>100</v>
      </c>
      <c r="CX431" t="s">
        <v>1</v>
      </c>
      <c r="CY431" t="s">
        <v>1</v>
      </c>
      <c r="CZ431" s="26" t="s">
        <v>1358</v>
      </c>
      <c r="DA431" t="s">
        <v>734</v>
      </c>
      <c r="DB431">
        <v>28</v>
      </c>
      <c r="DC431" t="s">
        <v>1</v>
      </c>
      <c r="DD431" t="s">
        <v>1</v>
      </c>
      <c r="DE431" s="26" t="s">
        <v>1358</v>
      </c>
      <c r="DF431" t="s">
        <v>735</v>
      </c>
      <c r="DG431">
        <v>35</v>
      </c>
      <c r="DH431" t="s">
        <v>1</v>
      </c>
      <c r="DI431" t="s">
        <v>1</v>
      </c>
      <c r="DJ431" s="26" t="s">
        <v>1358</v>
      </c>
      <c r="DK431" t="s">
        <v>736</v>
      </c>
      <c r="DL431">
        <v>37</v>
      </c>
      <c r="DM431" t="s">
        <v>1</v>
      </c>
      <c r="DN431" t="s">
        <v>1</v>
      </c>
      <c r="DO431" s="26" t="s">
        <v>1358</v>
      </c>
      <c r="DP431" t="s">
        <v>1</v>
      </c>
      <c r="DQ431" t="s">
        <v>1</v>
      </c>
      <c r="DR431" t="s">
        <v>1</v>
      </c>
      <c r="DS431" t="s">
        <v>1</v>
      </c>
      <c r="DT431" t="s">
        <v>1</v>
      </c>
      <c r="DU431" t="s">
        <v>1</v>
      </c>
      <c r="EA431" t="s">
        <v>982</v>
      </c>
      <c r="EB431">
        <v>22.5</v>
      </c>
      <c r="EC431" s="39">
        <v>0</v>
      </c>
      <c r="ED431" s="39">
        <v>30</v>
      </c>
      <c r="EE431" s="26" t="s">
        <v>1358</v>
      </c>
      <c r="EF431" t="s">
        <v>1464</v>
      </c>
      <c r="FZ431" t="s">
        <v>806</v>
      </c>
      <c r="GA431">
        <v>735.5</v>
      </c>
      <c r="GE431" s="26" t="s">
        <v>1358</v>
      </c>
      <c r="HA431" s="5" t="s">
        <v>1</v>
      </c>
      <c r="HB431" s="4" t="s">
        <v>1</v>
      </c>
      <c r="HC431" t="s">
        <v>1</v>
      </c>
      <c r="HD431" t="s">
        <v>1</v>
      </c>
      <c r="HE431" t="s">
        <v>1</v>
      </c>
      <c r="HF431" s="5" t="s">
        <v>1</v>
      </c>
      <c r="HG431" s="4" t="s">
        <v>1</v>
      </c>
      <c r="HH431" t="s">
        <v>1</v>
      </c>
      <c r="HI431" t="s">
        <v>1</v>
      </c>
      <c r="HJ431" t="s">
        <v>1</v>
      </c>
      <c r="HK431" t="s">
        <v>1</v>
      </c>
      <c r="HL431" t="s">
        <v>1</v>
      </c>
      <c r="HM431" t="s">
        <v>1</v>
      </c>
      <c r="HN431" t="s">
        <v>1</v>
      </c>
      <c r="HO431" t="s">
        <v>1</v>
      </c>
      <c r="HP431" t="s">
        <v>1</v>
      </c>
      <c r="HZ431" t="s">
        <v>1</v>
      </c>
      <c r="IA431" t="s">
        <v>1</v>
      </c>
      <c r="IB431" s="10" t="s">
        <v>1</v>
      </c>
      <c r="IC431" s="10"/>
      <c r="ID431" s="10"/>
      <c r="IE431" s="10" t="s">
        <v>1</v>
      </c>
      <c r="IF431" s="10" t="s">
        <v>1</v>
      </c>
      <c r="IG431" s="10"/>
      <c r="IH431" s="10"/>
      <c r="II431" s="10"/>
      <c r="IJ431" s="10"/>
      <c r="IK431" s="10"/>
      <c r="IL431" s="10"/>
      <c r="IM431" s="10"/>
      <c r="IN431" s="10"/>
      <c r="IO431" s="10"/>
      <c r="IP431" s="10"/>
      <c r="IQ431" s="10"/>
      <c r="IR431" s="10"/>
      <c r="IS431" t="s">
        <v>1</v>
      </c>
      <c r="IT431" t="s">
        <v>1</v>
      </c>
      <c r="IW431" t="s">
        <v>1</v>
      </c>
      <c r="IX431" t="s">
        <v>1</v>
      </c>
      <c r="IY431" t="s">
        <v>1</v>
      </c>
      <c r="IZ431" t="s">
        <v>1</v>
      </c>
      <c r="JA431" t="s">
        <v>1</v>
      </c>
      <c r="JB431" s="3" t="s">
        <v>1</v>
      </c>
      <c r="JC431" t="s">
        <v>1</v>
      </c>
      <c r="JD431" s="4" t="s">
        <v>1</v>
      </c>
      <c r="JE431" t="s">
        <v>810</v>
      </c>
      <c r="JF431">
        <v>100</v>
      </c>
      <c r="JR431" t="s">
        <v>1066</v>
      </c>
      <c r="JS431">
        <v>12.5</v>
      </c>
      <c r="JU431" t="s">
        <v>1</v>
      </c>
      <c r="JW431" t="s">
        <v>1</v>
      </c>
      <c r="JX431">
        <v>0</v>
      </c>
      <c r="JY431">
        <v>70</v>
      </c>
      <c r="JZ431" t="s">
        <v>797</v>
      </c>
      <c r="KA431" t="s">
        <v>147</v>
      </c>
      <c r="KB431" t="s">
        <v>738</v>
      </c>
      <c r="KC431" t="s">
        <v>1</v>
      </c>
      <c r="KD431" t="s">
        <v>1</v>
      </c>
      <c r="KE431" t="s">
        <v>1</v>
      </c>
      <c r="KF431" t="s">
        <v>1</v>
      </c>
      <c r="KG431" t="s">
        <v>1</v>
      </c>
      <c r="KH431" t="s">
        <v>1</v>
      </c>
      <c r="KI431" t="s">
        <v>1</v>
      </c>
      <c r="KJ431" t="s">
        <v>1</v>
      </c>
      <c r="KK431" t="s">
        <v>1</v>
      </c>
    </row>
    <row r="432" spans="1:297" x14ac:dyDescent="0.2">
      <c r="A432">
        <v>400</v>
      </c>
      <c r="B432" t="s">
        <v>705</v>
      </c>
      <c r="C432" t="s">
        <v>495</v>
      </c>
      <c r="D432" t="s">
        <v>493</v>
      </c>
      <c r="E432">
        <v>71</v>
      </c>
      <c r="F432" t="s">
        <v>494</v>
      </c>
      <c r="G432" t="s">
        <v>1</v>
      </c>
      <c r="H432" s="26" t="s">
        <v>1420</v>
      </c>
      <c r="I432" t="s">
        <v>1</v>
      </c>
      <c r="J432" t="s">
        <v>1</v>
      </c>
      <c r="K432" t="s">
        <v>1</v>
      </c>
      <c r="L432" t="s">
        <v>1</v>
      </c>
      <c r="M432" t="s">
        <v>1</v>
      </c>
      <c r="N432" t="s">
        <v>1</v>
      </c>
      <c r="O432" t="s">
        <v>1</v>
      </c>
      <c r="P432" t="s">
        <v>1</v>
      </c>
      <c r="Q432" t="s">
        <v>1</v>
      </c>
      <c r="R432" t="s">
        <v>1</v>
      </c>
      <c r="S432" t="s">
        <v>1</v>
      </c>
      <c r="T432" t="s">
        <v>1</v>
      </c>
      <c r="U432" t="s">
        <v>1</v>
      </c>
      <c r="V432" t="s">
        <v>1</v>
      </c>
      <c r="W432" t="s">
        <v>1</v>
      </c>
      <c r="X432" t="s">
        <v>1</v>
      </c>
      <c r="Y432" t="s">
        <v>1</v>
      </c>
      <c r="Z432" t="s">
        <v>1</v>
      </c>
      <c r="AA432" t="s">
        <v>1</v>
      </c>
      <c r="AB432" t="s">
        <v>1</v>
      </c>
      <c r="AC432" t="s">
        <v>1</v>
      </c>
      <c r="AD432" t="s">
        <v>1</v>
      </c>
      <c r="AE432" t="s">
        <v>1</v>
      </c>
      <c r="AF432" t="s">
        <v>1</v>
      </c>
      <c r="AG432" t="s">
        <v>1</v>
      </c>
      <c r="AH432" t="s">
        <v>1</v>
      </c>
      <c r="AI432" t="s">
        <v>1</v>
      </c>
      <c r="AJ432" t="s">
        <v>1</v>
      </c>
      <c r="AK432" t="s">
        <v>1</v>
      </c>
      <c r="AL432" t="s">
        <v>1</v>
      </c>
      <c r="AM432" t="s">
        <v>1</v>
      </c>
      <c r="AN432">
        <v>400</v>
      </c>
      <c r="AO432">
        <f t="shared" si="54"/>
        <v>400</v>
      </c>
      <c r="AP432">
        <f t="shared" si="55"/>
        <v>71</v>
      </c>
      <c r="AQ432">
        <f t="shared" si="57"/>
        <v>71</v>
      </c>
      <c r="AR432" s="26" t="s">
        <v>1355</v>
      </c>
      <c r="AS432" s="26" t="s">
        <v>1356</v>
      </c>
      <c r="AT432" t="s">
        <v>712</v>
      </c>
      <c r="AU432" t="s">
        <v>1</v>
      </c>
      <c r="AV432" t="s">
        <v>1</v>
      </c>
      <c r="AW432">
        <v>42.22</v>
      </c>
      <c r="AX432">
        <v>-82.73</v>
      </c>
      <c r="AY432" t="s">
        <v>737</v>
      </c>
      <c r="BA432" s="3">
        <v>1</v>
      </c>
      <c r="BB432" s="3"/>
      <c r="BC432" s="3"/>
      <c r="BD432" s="3"/>
      <c r="BE432" s="3"/>
      <c r="BF432">
        <v>1998</v>
      </c>
      <c r="BG432" s="24" t="s">
        <v>733</v>
      </c>
      <c r="BH432" s="24" t="s">
        <v>733</v>
      </c>
      <c r="BI432" s="24" t="s">
        <v>733</v>
      </c>
      <c r="BJ432" s="24" t="s">
        <v>732</v>
      </c>
      <c r="BK432" s="24" t="s">
        <v>733</v>
      </c>
      <c r="BL432" s="25" t="s">
        <v>733</v>
      </c>
      <c r="BM432" s="24" t="s">
        <v>733</v>
      </c>
      <c r="BN432" s="24" t="s">
        <v>732</v>
      </c>
      <c r="BO432" s="24" t="s">
        <v>733</v>
      </c>
      <c r="BP432" s="24" t="s">
        <v>733</v>
      </c>
      <c r="BQ432" s="24" t="s">
        <v>945</v>
      </c>
      <c r="BR432" s="24" t="s">
        <v>945</v>
      </c>
      <c r="BS432" s="25" t="s">
        <v>934</v>
      </c>
      <c r="BT432" s="24" t="s">
        <v>934</v>
      </c>
      <c r="BU432" s="24" t="s">
        <v>934</v>
      </c>
      <c r="BV432" s="24" t="s">
        <v>934</v>
      </c>
      <c r="BW432" s="24" t="s">
        <v>934</v>
      </c>
      <c r="BX432" s="24" t="s">
        <v>934</v>
      </c>
      <c r="BY432" s="25" t="s">
        <v>945</v>
      </c>
      <c r="BZ432" t="s">
        <v>5</v>
      </c>
      <c r="CB432" t="s">
        <v>1</v>
      </c>
      <c r="CC432" s="4">
        <f>AVERAGE(7.97,1.41,4.85)*1000*84.5%</f>
        <v>4008.1166666666663</v>
      </c>
      <c r="CD432" s="4"/>
      <c r="CE432" s="4"/>
      <c r="CF432" t="s">
        <v>793</v>
      </c>
      <c r="CG432">
        <v>100</v>
      </c>
      <c r="CH432" t="s">
        <v>805</v>
      </c>
      <c r="CI432" s="28">
        <v>1.6</v>
      </c>
      <c r="CJ432" s="10" t="s">
        <v>1442</v>
      </c>
      <c r="CK432" s="9" t="s">
        <v>1</v>
      </c>
      <c r="CL432" s="4" t="s">
        <v>1</v>
      </c>
      <c r="CM432" s="4" t="s">
        <v>1</v>
      </c>
      <c r="CN432" s="4" t="s">
        <v>1</v>
      </c>
      <c r="CO432" s="4" t="s">
        <v>1</v>
      </c>
      <c r="CP432" s="4" t="s">
        <v>1</v>
      </c>
      <c r="CQ432" s="4" t="s">
        <v>1</v>
      </c>
      <c r="CR432" s="4" t="s">
        <v>1</v>
      </c>
      <c r="CS432" s="4" t="s">
        <v>1</v>
      </c>
      <c r="CT432" s="4" t="s">
        <v>1</v>
      </c>
      <c r="CU432" s="4" t="s">
        <v>1</v>
      </c>
      <c r="CV432" t="s">
        <v>850</v>
      </c>
      <c r="CW432">
        <v>100</v>
      </c>
      <c r="CX432" t="s">
        <v>1</v>
      </c>
      <c r="CY432" t="s">
        <v>1</v>
      </c>
      <c r="CZ432" s="26" t="s">
        <v>1358</v>
      </c>
      <c r="DA432" t="s">
        <v>734</v>
      </c>
      <c r="DB432">
        <v>28</v>
      </c>
      <c r="DC432" t="s">
        <v>1</v>
      </c>
      <c r="DD432" t="s">
        <v>1</v>
      </c>
      <c r="DE432" s="26" t="s">
        <v>1358</v>
      </c>
      <c r="DF432" t="s">
        <v>735</v>
      </c>
      <c r="DG432">
        <v>35</v>
      </c>
      <c r="DH432" t="s">
        <v>1</v>
      </c>
      <c r="DI432" t="s">
        <v>1</v>
      </c>
      <c r="DJ432" s="26" t="s">
        <v>1358</v>
      </c>
      <c r="DK432" t="s">
        <v>736</v>
      </c>
      <c r="DL432">
        <v>37</v>
      </c>
      <c r="DM432" t="s">
        <v>1</v>
      </c>
      <c r="DN432" t="s">
        <v>1</v>
      </c>
      <c r="DO432" s="26" t="s">
        <v>1358</v>
      </c>
      <c r="DP432" t="s">
        <v>1</v>
      </c>
      <c r="DQ432" t="s">
        <v>1</v>
      </c>
      <c r="DR432" t="s">
        <v>1</v>
      </c>
      <c r="DS432" t="s">
        <v>1</v>
      </c>
      <c r="DT432" t="s">
        <v>1</v>
      </c>
      <c r="DU432" t="s">
        <v>1</v>
      </c>
      <c r="EA432" t="s">
        <v>982</v>
      </c>
      <c r="EB432">
        <v>22.5</v>
      </c>
      <c r="EC432" s="39">
        <v>0</v>
      </c>
      <c r="ED432" s="39">
        <v>30</v>
      </c>
      <c r="EE432" s="26" t="s">
        <v>1358</v>
      </c>
      <c r="EF432" t="s">
        <v>1464</v>
      </c>
      <c r="FZ432" t="s">
        <v>806</v>
      </c>
      <c r="GA432">
        <v>735.5</v>
      </c>
      <c r="GE432" s="26" t="s">
        <v>1358</v>
      </c>
      <c r="HA432" s="5" t="s">
        <v>1</v>
      </c>
      <c r="HB432" s="4" t="s">
        <v>1</v>
      </c>
      <c r="HC432" t="s">
        <v>1</v>
      </c>
      <c r="HD432" t="s">
        <v>1</v>
      </c>
      <c r="HE432" t="s">
        <v>1</v>
      </c>
      <c r="HF432" s="5" t="s">
        <v>1</v>
      </c>
      <c r="HG432" s="4" t="s">
        <v>1</v>
      </c>
      <c r="HH432" t="s">
        <v>1</v>
      </c>
      <c r="HI432" t="s">
        <v>1</v>
      </c>
      <c r="HJ432" t="s">
        <v>1</v>
      </c>
      <c r="HK432" t="s">
        <v>1</v>
      </c>
      <c r="HL432" t="s">
        <v>1</v>
      </c>
      <c r="HM432" t="s">
        <v>1</v>
      </c>
      <c r="HN432" t="s">
        <v>1</v>
      </c>
      <c r="HO432" t="s">
        <v>1</v>
      </c>
      <c r="HP432" t="s">
        <v>1</v>
      </c>
      <c r="HZ432" t="s">
        <v>1295</v>
      </c>
      <c r="IA432">
        <v>129</v>
      </c>
      <c r="IB432" s="5" t="s">
        <v>838</v>
      </c>
      <c r="IC432" s="5"/>
      <c r="ID432" s="5"/>
      <c r="IE432" s="10" t="s">
        <v>1</v>
      </c>
      <c r="IF432" s="10" t="s">
        <v>1</v>
      </c>
      <c r="IG432" s="10"/>
      <c r="IH432" s="10"/>
      <c r="II432" s="10"/>
      <c r="IJ432" s="10"/>
      <c r="IK432" s="10"/>
      <c r="IL432" s="10"/>
      <c r="IM432" s="10"/>
      <c r="IN432" s="10"/>
      <c r="IO432" s="10"/>
      <c r="IP432" s="10"/>
      <c r="IQ432" s="10"/>
      <c r="IR432" s="10"/>
      <c r="IS432" t="s">
        <v>1</v>
      </c>
      <c r="IT432" t="s">
        <v>1</v>
      </c>
      <c r="IW432" t="s">
        <v>1</v>
      </c>
      <c r="IX432" t="s">
        <v>1</v>
      </c>
      <c r="IY432" t="s">
        <v>1</v>
      </c>
      <c r="IZ432" t="s">
        <v>1</v>
      </c>
      <c r="JA432" t="s">
        <v>1</v>
      </c>
      <c r="JB432" s="3" t="s">
        <v>1</v>
      </c>
      <c r="JC432" t="s">
        <v>1</v>
      </c>
      <c r="JD432" s="4" t="s">
        <v>1</v>
      </c>
      <c r="JE432" t="s">
        <v>810</v>
      </c>
      <c r="JF432">
        <v>100</v>
      </c>
      <c r="JR432" t="s">
        <v>1066</v>
      </c>
      <c r="JS432">
        <v>121</v>
      </c>
      <c r="JU432" t="s">
        <v>1</v>
      </c>
      <c r="JW432" t="s">
        <v>1</v>
      </c>
      <c r="JX432">
        <v>0</v>
      </c>
      <c r="JY432">
        <v>70</v>
      </c>
      <c r="JZ432" t="s">
        <v>797</v>
      </c>
      <c r="KA432" t="s">
        <v>147</v>
      </c>
      <c r="KB432" t="s">
        <v>738</v>
      </c>
      <c r="KC432" t="s">
        <v>1</v>
      </c>
      <c r="KD432" t="s">
        <v>1</v>
      </c>
      <c r="KE432" t="s">
        <v>1</v>
      </c>
      <c r="KF432" t="s">
        <v>1</v>
      </c>
      <c r="KG432" t="s">
        <v>1</v>
      </c>
      <c r="KH432" t="s">
        <v>1</v>
      </c>
      <c r="KI432" t="s">
        <v>1</v>
      </c>
      <c r="KJ432" t="s">
        <v>1</v>
      </c>
      <c r="KK432" t="s">
        <v>1</v>
      </c>
    </row>
    <row r="433" spans="1:297" x14ac:dyDescent="0.2">
      <c r="A433">
        <v>401</v>
      </c>
      <c r="B433" t="s">
        <v>705</v>
      </c>
      <c r="C433" t="s">
        <v>496</v>
      </c>
      <c r="D433" t="s">
        <v>493</v>
      </c>
      <c r="E433">
        <v>71</v>
      </c>
      <c r="F433" t="s">
        <v>494</v>
      </c>
      <c r="G433" t="s">
        <v>1</v>
      </c>
      <c r="H433" s="26" t="s">
        <v>1420</v>
      </c>
      <c r="I433" t="s">
        <v>1</v>
      </c>
      <c r="J433" t="s">
        <v>1</v>
      </c>
      <c r="K433" t="s">
        <v>1</v>
      </c>
      <c r="L433" t="s">
        <v>1</v>
      </c>
      <c r="M433" t="s">
        <v>1</v>
      </c>
      <c r="N433" t="s">
        <v>1</v>
      </c>
      <c r="O433" t="s">
        <v>1</v>
      </c>
      <c r="P433" t="s">
        <v>1</v>
      </c>
      <c r="Q433" t="s">
        <v>1</v>
      </c>
      <c r="R433" t="s">
        <v>1</v>
      </c>
      <c r="S433" t="s">
        <v>1</v>
      </c>
      <c r="T433" t="s">
        <v>1</v>
      </c>
      <c r="U433" t="s">
        <v>1</v>
      </c>
      <c r="V433" t="s">
        <v>1</v>
      </c>
      <c r="W433" t="s">
        <v>1</v>
      </c>
      <c r="X433" t="s">
        <v>1</v>
      </c>
      <c r="Y433" t="s">
        <v>1</v>
      </c>
      <c r="Z433" t="s">
        <v>1</v>
      </c>
      <c r="AA433" t="s">
        <v>1</v>
      </c>
      <c r="AB433" t="s">
        <v>1</v>
      </c>
      <c r="AC433" t="s">
        <v>1</v>
      </c>
      <c r="AD433" t="s">
        <v>1</v>
      </c>
      <c r="AE433" t="s">
        <v>1</v>
      </c>
      <c r="AF433" t="s">
        <v>1</v>
      </c>
      <c r="AG433" t="s">
        <v>1</v>
      </c>
      <c r="AH433" t="s">
        <v>1</v>
      </c>
      <c r="AI433" t="s">
        <v>1</v>
      </c>
      <c r="AJ433" t="s">
        <v>1</v>
      </c>
      <c r="AK433" t="s">
        <v>1</v>
      </c>
      <c r="AL433" t="s">
        <v>1</v>
      </c>
      <c r="AM433" t="s">
        <v>1</v>
      </c>
      <c r="AN433">
        <v>401</v>
      </c>
      <c r="AO433">
        <f t="shared" si="54"/>
        <v>401</v>
      </c>
      <c r="AP433">
        <f t="shared" si="55"/>
        <v>71</v>
      </c>
      <c r="AQ433">
        <f t="shared" si="57"/>
        <v>71</v>
      </c>
      <c r="AR433" s="26" t="s">
        <v>1355</v>
      </c>
      <c r="AS433" s="26" t="s">
        <v>1356</v>
      </c>
      <c r="AT433" t="s">
        <v>712</v>
      </c>
      <c r="AU433" t="s">
        <v>1</v>
      </c>
      <c r="AV433" t="s">
        <v>1</v>
      </c>
      <c r="AW433">
        <v>42.22</v>
      </c>
      <c r="AX433">
        <v>-82.73</v>
      </c>
      <c r="AY433" t="s">
        <v>737</v>
      </c>
      <c r="BA433" s="3">
        <v>1</v>
      </c>
      <c r="BB433" s="3"/>
      <c r="BC433" s="3"/>
      <c r="BD433" s="3"/>
      <c r="BE433" s="3"/>
      <c r="BF433">
        <v>1998</v>
      </c>
      <c r="BG433" s="24" t="s">
        <v>733</v>
      </c>
      <c r="BH433" s="24" t="s">
        <v>733</v>
      </c>
      <c r="BI433" s="24" t="s">
        <v>733</v>
      </c>
      <c r="BJ433" s="24" t="s">
        <v>732</v>
      </c>
      <c r="BK433" s="24" t="s">
        <v>733</v>
      </c>
      <c r="BL433" s="25" t="s">
        <v>733</v>
      </c>
      <c r="BM433" s="24" t="s">
        <v>733</v>
      </c>
      <c r="BN433" s="24" t="s">
        <v>732</v>
      </c>
      <c r="BO433" s="24" t="s">
        <v>733</v>
      </c>
      <c r="BP433" s="24" t="s">
        <v>733</v>
      </c>
      <c r="BQ433" s="24" t="s">
        <v>945</v>
      </c>
      <c r="BR433" s="24" t="s">
        <v>945</v>
      </c>
      <c r="BS433" s="25" t="s">
        <v>934</v>
      </c>
      <c r="BT433" s="24" t="s">
        <v>934</v>
      </c>
      <c r="BU433" s="24" t="s">
        <v>934</v>
      </c>
      <c r="BV433" s="24" t="s">
        <v>934</v>
      </c>
      <c r="BW433" s="24" t="s">
        <v>934</v>
      </c>
      <c r="BX433" s="24" t="s">
        <v>934</v>
      </c>
      <c r="BY433" s="25" t="s">
        <v>945</v>
      </c>
      <c r="BZ433" t="s">
        <v>5</v>
      </c>
      <c r="CB433" t="s">
        <v>1</v>
      </c>
      <c r="CC433" s="4">
        <f>AVERAGE(5.65,3.07,3.16)*1000*84.5%</f>
        <v>3346.2000000000003</v>
      </c>
      <c r="CD433" s="4"/>
      <c r="CE433" s="4"/>
      <c r="CF433" t="s">
        <v>793</v>
      </c>
      <c r="CG433">
        <v>100</v>
      </c>
      <c r="CH433" t="s">
        <v>805</v>
      </c>
      <c r="CI433" s="28">
        <v>1.6</v>
      </c>
      <c r="CJ433" s="10" t="s">
        <v>1442</v>
      </c>
      <c r="CK433" s="9" t="s">
        <v>1</v>
      </c>
      <c r="CL433" s="4" t="s">
        <v>1</v>
      </c>
      <c r="CM433" s="4" t="s">
        <v>1</v>
      </c>
      <c r="CN433" s="4" t="s">
        <v>1</v>
      </c>
      <c r="CO433" s="4" t="s">
        <v>1</v>
      </c>
      <c r="CP433" s="4" t="s">
        <v>1</v>
      </c>
      <c r="CQ433" s="4" t="s">
        <v>1</v>
      </c>
      <c r="CR433" s="4" t="s">
        <v>1</v>
      </c>
      <c r="CS433" s="4" t="s">
        <v>1</v>
      </c>
      <c r="CT433" s="4" t="s">
        <v>1</v>
      </c>
      <c r="CU433" s="4" t="s">
        <v>1</v>
      </c>
      <c r="CV433" t="s">
        <v>850</v>
      </c>
      <c r="CW433">
        <v>100</v>
      </c>
      <c r="CX433" t="s">
        <v>1</v>
      </c>
      <c r="CY433" t="s">
        <v>1</v>
      </c>
      <c r="CZ433" s="26" t="s">
        <v>1358</v>
      </c>
      <c r="DA433" t="s">
        <v>734</v>
      </c>
      <c r="DB433">
        <v>28</v>
      </c>
      <c r="DC433" t="s">
        <v>1</v>
      </c>
      <c r="DD433" t="s">
        <v>1</v>
      </c>
      <c r="DE433" s="26" t="s">
        <v>1358</v>
      </c>
      <c r="DF433" t="s">
        <v>735</v>
      </c>
      <c r="DG433">
        <v>35</v>
      </c>
      <c r="DH433" t="s">
        <v>1</v>
      </c>
      <c r="DI433" t="s">
        <v>1</v>
      </c>
      <c r="DJ433" s="26" t="s">
        <v>1358</v>
      </c>
      <c r="DK433" t="s">
        <v>736</v>
      </c>
      <c r="DL433">
        <v>37</v>
      </c>
      <c r="DM433" t="s">
        <v>1</v>
      </c>
      <c r="DN433" t="s">
        <v>1</v>
      </c>
      <c r="DO433" s="26" t="s">
        <v>1358</v>
      </c>
      <c r="DP433" t="s">
        <v>1</v>
      </c>
      <c r="DQ433" t="s">
        <v>1</v>
      </c>
      <c r="DR433" t="s">
        <v>1</v>
      </c>
      <c r="DS433" t="s">
        <v>1</v>
      </c>
      <c r="DT433" t="s">
        <v>1</v>
      </c>
      <c r="DU433" t="s">
        <v>1</v>
      </c>
      <c r="EA433" t="s">
        <v>982</v>
      </c>
      <c r="EB433">
        <v>22.5</v>
      </c>
      <c r="EC433" s="39">
        <v>0</v>
      </c>
      <c r="ED433" s="39">
        <v>30</v>
      </c>
      <c r="EE433" s="26" t="s">
        <v>1358</v>
      </c>
      <c r="EF433" t="s">
        <v>1464</v>
      </c>
      <c r="FZ433" t="s">
        <v>806</v>
      </c>
      <c r="GA433">
        <v>735.5</v>
      </c>
      <c r="GE433" s="26" t="s">
        <v>1358</v>
      </c>
      <c r="HA433" s="5" t="s">
        <v>1</v>
      </c>
      <c r="HB433" s="4" t="s">
        <v>1</v>
      </c>
      <c r="HC433" t="s">
        <v>1</v>
      </c>
      <c r="HD433" t="s">
        <v>1</v>
      </c>
      <c r="HE433" t="s">
        <v>1</v>
      </c>
      <c r="HF433" s="5" t="s">
        <v>1</v>
      </c>
      <c r="HG433" s="4" t="s">
        <v>1</v>
      </c>
      <c r="HH433" t="s">
        <v>1</v>
      </c>
      <c r="HI433" t="s">
        <v>1</v>
      </c>
      <c r="HJ433" t="s">
        <v>1</v>
      </c>
      <c r="HK433" t="s">
        <v>1</v>
      </c>
      <c r="HL433" t="s">
        <v>1</v>
      </c>
      <c r="HM433" t="s">
        <v>1</v>
      </c>
      <c r="HN433" t="s">
        <v>1</v>
      </c>
      <c r="HO433" t="s">
        <v>1</v>
      </c>
      <c r="HP433" t="s">
        <v>1</v>
      </c>
      <c r="HZ433" t="s">
        <v>1</v>
      </c>
      <c r="IA433" t="s">
        <v>1</v>
      </c>
      <c r="IB433" s="10" t="s">
        <v>1</v>
      </c>
      <c r="IC433" s="10"/>
      <c r="ID433" s="10"/>
      <c r="IE433" s="10" t="s">
        <v>1</v>
      </c>
      <c r="IF433" s="10" t="s">
        <v>1</v>
      </c>
      <c r="IG433" s="10"/>
      <c r="IH433" s="10"/>
      <c r="II433" s="10"/>
      <c r="IJ433" s="10"/>
      <c r="IK433" s="10"/>
      <c r="IL433" s="10"/>
      <c r="IM433" s="10"/>
      <c r="IN433" s="10"/>
      <c r="IO433" s="10"/>
      <c r="IP433" s="10"/>
      <c r="IQ433" s="10"/>
      <c r="IR433" s="10"/>
      <c r="IS433" t="s">
        <v>1</v>
      </c>
      <c r="IT433" t="s">
        <v>1</v>
      </c>
      <c r="IW433" t="s">
        <v>1</v>
      </c>
      <c r="IX433" t="s">
        <v>1</v>
      </c>
      <c r="IY433" t="s">
        <v>1</v>
      </c>
      <c r="IZ433" t="s">
        <v>1</v>
      </c>
      <c r="JA433" t="s">
        <v>1</v>
      </c>
      <c r="JB433" s="3" t="s">
        <v>1</v>
      </c>
      <c r="JC433" t="s">
        <v>1</v>
      </c>
      <c r="JD433" s="4" t="s">
        <v>1</v>
      </c>
      <c r="JE433" t="s">
        <v>810</v>
      </c>
      <c r="JF433">
        <v>100</v>
      </c>
      <c r="JR433" t="s">
        <v>1066</v>
      </c>
      <c r="JS433">
        <v>64.900000000000006</v>
      </c>
      <c r="JU433" t="s">
        <v>1</v>
      </c>
      <c r="JW433" t="s">
        <v>1</v>
      </c>
      <c r="JX433">
        <v>0</v>
      </c>
      <c r="JY433">
        <v>70</v>
      </c>
      <c r="JZ433" t="s">
        <v>797</v>
      </c>
      <c r="KA433" t="s">
        <v>147</v>
      </c>
      <c r="KB433" t="s">
        <v>738</v>
      </c>
      <c r="KC433" t="s">
        <v>1</v>
      </c>
      <c r="KD433" t="s">
        <v>1</v>
      </c>
      <c r="KE433" t="s">
        <v>1</v>
      </c>
      <c r="KF433" t="s">
        <v>1</v>
      </c>
      <c r="KG433" t="s">
        <v>1</v>
      </c>
      <c r="KH433" t="s">
        <v>1</v>
      </c>
      <c r="KI433" t="s">
        <v>1</v>
      </c>
      <c r="KJ433" t="s">
        <v>1</v>
      </c>
      <c r="KK433" t="s">
        <v>1</v>
      </c>
    </row>
    <row r="434" spans="1:297" x14ac:dyDescent="0.2">
      <c r="A434">
        <v>402</v>
      </c>
      <c r="B434" t="s">
        <v>705</v>
      </c>
      <c r="C434" t="s">
        <v>497</v>
      </c>
      <c r="D434" t="s">
        <v>493</v>
      </c>
      <c r="E434">
        <v>71</v>
      </c>
      <c r="F434" t="s">
        <v>494</v>
      </c>
      <c r="G434" t="s">
        <v>1</v>
      </c>
      <c r="H434" s="26" t="s">
        <v>1420</v>
      </c>
      <c r="I434" t="s">
        <v>1</v>
      </c>
      <c r="J434" t="s">
        <v>1</v>
      </c>
      <c r="K434" t="s">
        <v>1</v>
      </c>
      <c r="L434" t="s">
        <v>1</v>
      </c>
      <c r="M434" t="s">
        <v>1</v>
      </c>
      <c r="N434" t="s">
        <v>1</v>
      </c>
      <c r="O434" t="s">
        <v>1</v>
      </c>
      <c r="P434" t="s">
        <v>1</v>
      </c>
      <c r="Q434" t="s">
        <v>1</v>
      </c>
      <c r="R434" t="s">
        <v>1</v>
      </c>
      <c r="S434" t="s">
        <v>1</v>
      </c>
      <c r="T434" t="s">
        <v>1</v>
      </c>
      <c r="U434" t="s">
        <v>1</v>
      </c>
      <c r="V434" t="s">
        <v>1</v>
      </c>
      <c r="W434" t="s">
        <v>1</v>
      </c>
      <c r="X434" t="s">
        <v>1</v>
      </c>
      <c r="Y434" t="s">
        <v>1</v>
      </c>
      <c r="Z434" t="s">
        <v>1</v>
      </c>
      <c r="AA434" t="s">
        <v>1</v>
      </c>
      <c r="AB434" t="s">
        <v>1</v>
      </c>
      <c r="AC434" t="s">
        <v>1</v>
      </c>
      <c r="AD434" t="s">
        <v>1</v>
      </c>
      <c r="AE434" t="s">
        <v>1</v>
      </c>
      <c r="AF434" t="s">
        <v>1</v>
      </c>
      <c r="AG434" t="s">
        <v>1</v>
      </c>
      <c r="AH434" t="s">
        <v>1</v>
      </c>
      <c r="AI434" t="s">
        <v>1</v>
      </c>
      <c r="AJ434" t="s">
        <v>1</v>
      </c>
      <c r="AK434" t="s">
        <v>1</v>
      </c>
      <c r="AL434" t="s">
        <v>1</v>
      </c>
      <c r="AM434" t="s">
        <v>1</v>
      </c>
      <c r="AN434">
        <v>402</v>
      </c>
      <c r="AO434">
        <f t="shared" si="54"/>
        <v>402</v>
      </c>
      <c r="AP434">
        <f t="shared" si="55"/>
        <v>71</v>
      </c>
      <c r="AQ434">
        <f t="shared" si="57"/>
        <v>71</v>
      </c>
      <c r="AR434" s="26" t="s">
        <v>1355</v>
      </c>
      <c r="AS434" s="26" t="s">
        <v>1356</v>
      </c>
      <c r="AT434" t="s">
        <v>712</v>
      </c>
      <c r="AU434" t="s">
        <v>1</v>
      </c>
      <c r="AV434" t="s">
        <v>1</v>
      </c>
      <c r="AW434">
        <v>42.22</v>
      </c>
      <c r="AX434">
        <v>-82.73</v>
      </c>
      <c r="AY434" t="s">
        <v>737</v>
      </c>
      <c r="BA434" s="3">
        <v>1</v>
      </c>
      <c r="BB434" s="3"/>
      <c r="BC434" s="3"/>
      <c r="BD434" s="3"/>
      <c r="BE434" s="3"/>
      <c r="BF434">
        <v>1998</v>
      </c>
      <c r="BG434" s="24" t="s">
        <v>733</v>
      </c>
      <c r="BH434" s="24" t="s">
        <v>733</v>
      </c>
      <c r="BI434" s="24" t="s">
        <v>733</v>
      </c>
      <c r="BJ434" s="24" t="s">
        <v>732</v>
      </c>
      <c r="BK434" s="24" t="s">
        <v>733</v>
      </c>
      <c r="BL434" s="25" t="s">
        <v>733</v>
      </c>
      <c r="BM434" s="24" t="s">
        <v>733</v>
      </c>
      <c r="BN434" s="24" t="s">
        <v>732</v>
      </c>
      <c r="BO434" s="24" t="s">
        <v>733</v>
      </c>
      <c r="BP434" s="24" t="s">
        <v>733</v>
      </c>
      <c r="BQ434" s="24" t="s">
        <v>945</v>
      </c>
      <c r="BR434" s="24" t="s">
        <v>945</v>
      </c>
      <c r="BS434" s="25" t="s">
        <v>934</v>
      </c>
      <c r="BT434" s="24" t="s">
        <v>934</v>
      </c>
      <c r="BU434" s="24" t="s">
        <v>934</v>
      </c>
      <c r="BV434" s="24" t="s">
        <v>934</v>
      </c>
      <c r="BW434" s="24" t="s">
        <v>934</v>
      </c>
      <c r="BX434" s="24" t="s">
        <v>934</v>
      </c>
      <c r="BY434" s="25" t="s">
        <v>945</v>
      </c>
      <c r="BZ434" t="s">
        <v>5</v>
      </c>
      <c r="CB434" t="s">
        <v>1</v>
      </c>
      <c r="CC434" s="4">
        <f>AVERAGE(9.08,5.57,5.77)*1000*84.5%</f>
        <v>5751.6333333333341</v>
      </c>
      <c r="CD434" s="4"/>
      <c r="CE434" s="4"/>
      <c r="CF434" t="s">
        <v>793</v>
      </c>
      <c r="CG434">
        <v>100</v>
      </c>
      <c r="CH434" t="s">
        <v>805</v>
      </c>
      <c r="CI434" s="28">
        <v>1.6</v>
      </c>
      <c r="CJ434" s="10" t="s">
        <v>1442</v>
      </c>
      <c r="CK434" s="9" t="s">
        <v>1</v>
      </c>
      <c r="CL434" s="4" t="s">
        <v>1</v>
      </c>
      <c r="CM434" s="4" t="s">
        <v>1</v>
      </c>
      <c r="CN434" s="4" t="s">
        <v>1</v>
      </c>
      <c r="CO434" s="4" t="s">
        <v>1</v>
      </c>
      <c r="CP434" s="4" t="s">
        <v>1</v>
      </c>
      <c r="CQ434" s="4" t="s">
        <v>1</v>
      </c>
      <c r="CR434" s="4" t="s">
        <v>1</v>
      </c>
      <c r="CS434" s="4" t="s">
        <v>1</v>
      </c>
      <c r="CT434" s="4" t="s">
        <v>1</v>
      </c>
      <c r="CU434" s="4" t="s">
        <v>1</v>
      </c>
      <c r="CV434" t="s">
        <v>850</v>
      </c>
      <c r="CW434">
        <v>100</v>
      </c>
      <c r="CX434" t="s">
        <v>1</v>
      </c>
      <c r="CY434" t="s">
        <v>1</v>
      </c>
      <c r="CZ434" s="26" t="s">
        <v>1358</v>
      </c>
      <c r="DA434" t="s">
        <v>734</v>
      </c>
      <c r="DB434">
        <v>28</v>
      </c>
      <c r="DC434" t="s">
        <v>1</v>
      </c>
      <c r="DD434" t="s">
        <v>1</v>
      </c>
      <c r="DE434" s="26" t="s">
        <v>1358</v>
      </c>
      <c r="DF434" t="s">
        <v>735</v>
      </c>
      <c r="DG434">
        <v>35</v>
      </c>
      <c r="DH434" t="s">
        <v>1</v>
      </c>
      <c r="DI434" t="s">
        <v>1</v>
      </c>
      <c r="DJ434" s="26" t="s">
        <v>1358</v>
      </c>
      <c r="DK434" t="s">
        <v>736</v>
      </c>
      <c r="DL434">
        <v>37</v>
      </c>
      <c r="DM434" t="s">
        <v>1</v>
      </c>
      <c r="DN434" t="s">
        <v>1</v>
      </c>
      <c r="DO434" s="26" t="s">
        <v>1358</v>
      </c>
      <c r="DP434" t="s">
        <v>1</v>
      </c>
      <c r="DQ434" t="s">
        <v>1</v>
      </c>
      <c r="DR434" t="s">
        <v>1</v>
      </c>
      <c r="DS434" t="s">
        <v>1</v>
      </c>
      <c r="DT434" t="s">
        <v>1</v>
      </c>
      <c r="DU434" t="s">
        <v>1</v>
      </c>
      <c r="EA434" t="s">
        <v>982</v>
      </c>
      <c r="EB434">
        <v>22.5</v>
      </c>
      <c r="EC434" s="39">
        <v>0</v>
      </c>
      <c r="ED434" s="39">
        <v>30</v>
      </c>
      <c r="EE434" s="26" t="s">
        <v>1358</v>
      </c>
      <c r="EF434" t="s">
        <v>1464</v>
      </c>
      <c r="FZ434" t="s">
        <v>806</v>
      </c>
      <c r="GA434">
        <v>735.5</v>
      </c>
      <c r="GE434" s="26" t="s">
        <v>1358</v>
      </c>
      <c r="HA434" s="5" t="s">
        <v>1</v>
      </c>
      <c r="HB434" s="4" t="s">
        <v>1</v>
      </c>
      <c r="HC434" t="s">
        <v>1</v>
      </c>
      <c r="HD434" t="s">
        <v>1</v>
      </c>
      <c r="HE434" t="s">
        <v>1</v>
      </c>
      <c r="HF434" s="5" t="s">
        <v>1</v>
      </c>
      <c r="HG434" s="4" t="s">
        <v>1</v>
      </c>
      <c r="HH434" t="s">
        <v>1</v>
      </c>
      <c r="HI434" t="s">
        <v>1</v>
      </c>
      <c r="HJ434" t="s">
        <v>1</v>
      </c>
      <c r="HK434" t="s">
        <v>1</v>
      </c>
      <c r="HL434" t="s">
        <v>1</v>
      </c>
      <c r="HM434" t="s">
        <v>1</v>
      </c>
      <c r="HN434" t="s">
        <v>1</v>
      </c>
      <c r="HO434" t="s">
        <v>1</v>
      </c>
      <c r="HP434" t="s">
        <v>1</v>
      </c>
      <c r="HZ434" t="s">
        <v>1295</v>
      </c>
      <c r="IA434">
        <v>129</v>
      </c>
      <c r="IB434" s="5" t="s">
        <v>838</v>
      </c>
      <c r="IC434" s="5"/>
      <c r="ID434" s="5"/>
      <c r="IE434" s="10" t="s">
        <v>1</v>
      </c>
      <c r="IF434" s="10" t="s">
        <v>1</v>
      </c>
      <c r="IG434" s="10"/>
      <c r="IH434" s="10"/>
      <c r="II434" s="10"/>
      <c r="IJ434" s="10"/>
      <c r="IK434" s="10"/>
      <c r="IL434" s="10"/>
      <c r="IM434" s="10"/>
      <c r="IN434" s="10"/>
      <c r="IO434" s="10"/>
      <c r="IP434" s="10"/>
      <c r="IQ434" s="10"/>
      <c r="IR434" s="10"/>
      <c r="IS434" t="s">
        <v>1</v>
      </c>
      <c r="IT434" t="s">
        <v>1</v>
      </c>
      <c r="IW434" t="s">
        <v>1</v>
      </c>
      <c r="IX434" t="s">
        <v>1</v>
      </c>
      <c r="IY434" t="s">
        <v>1</v>
      </c>
      <c r="IZ434" t="s">
        <v>1</v>
      </c>
      <c r="JA434" t="s">
        <v>1</v>
      </c>
      <c r="JB434" s="3" t="s">
        <v>1</v>
      </c>
      <c r="JC434" t="s">
        <v>1</v>
      </c>
      <c r="JD434" s="4" t="s">
        <v>1</v>
      </c>
      <c r="JE434" t="s">
        <v>810</v>
      </c>
      <c r="JF434">
        <v>100</v>
      </c>
      <c r="JR434" t="s">
        <v>1066</v>
      </c>
      <c r="JS434">
        <v>147.4</v>
      </c>
      <c r="JU434" t="s">
        <v>1</v>
      </c>
      <c r="JW434" t="s">
        <v>1</v>
      </c>
      <c r="JX434">
        <v>0</v>
      </c>
      <c r="JY434">
        <v>70</v>
      </c>
      <c r="JZ434" t="s">
        <v>797</v>
      </c>
      <c r="KA434" t="s">
        <v>147</v>
      </c>
      <c r="KB434" t="s">
        <v>738</v>
      </c>
      <c r="KC434" t="s">
        <v>1</v>
      </c>
      <c r="KD434" t="s">
        <v>1</v>
      </c>
      <c r="KE434" t="s">
        <v>1</v>
      </c>
      <c r="KF434" t="s">
        <v>1</v>
      </c>
      <c r="KG434" t="s">
        <v>1</v>
      </c>
      <c r="KH434" t="s">
        <v>1</v>
      </c>
      <c r="KI434" t="s">
        <v>1</v>
      </c>
      <c r="KJ434" t="s">
        <v>1</v>
      </c>
      <c r="KK434" t="s">
        <v>1</v>
      </c>
    </row>
    <row r="435" spans="1:297" x14ac:dyDescent="0.2">
      <c r="A435">
        <v>403</v>
      </c>
      <c r="B435" t="s">
        <v>705</v>
      </c>
      <c r="C435" t="s">
        <v>500</v>
      </c>
      <c r="D435" t="s">
        <v>498</v>
      </c>
      <c r="E435">
        <v>72</v>
      </c>
      <c r="F435" t="s">
        <v>499</v>
      </c>
      <c r="G435" t="s">
        <v>1</v>
      </c>
      <c r="H435" s="26" t="s">
        <v>1420</v>
      </c>
      <c r="I435" t="s">
        <v>1</v>
      </c>
      <c r="J435" t="s">
        <v>1</v>
      </c>
      <c r="K435" t="s">
        <v>1</v>
      </c>
      <c r="L435" t="s">
        <v>1</v>
      </c>
      <c r="M435" t="s">
        <v>1</v>
      </c>
      <c r="N435" t="s">
        <v>1</v>
      </c>
      <c r="O435" t="s">
        <v>1</v>
      </c>
      <c r="P435" t="s">
        <v>1</v>
      </c>
      <c r="Q435" t="s">
        <v>1</v>
      </c>
      <c r="R435" t="s">
        <v>1</v>
      </c>
      <c r="S435" t="s">
        <v>1</v>
      </c>
      <c r="T435" t="s">
        <v>1</v>
      </c>
      <c r="U435" t="s">
        <v>1</v>
      </c>
      <c r="V435" t="s">
        <v>1</v>
      </c>
      <c r="W435" t="s">
        <v>1</v>
      </c>
      <c r="X435" t="s">
        <v>1</v>
      </c>
      <c r="Y435" t="s">
        <v>1</v>
      </c>
      <c r="Z435" t="s">
        <v>1</v>
      </c>
      <c r="AA435" t="s">
        <v>1</v>
      </c>
      <c r="AB435" t="s">
        <v>1</v>
      </c>
      <c r="AC435" t="s">
        <v>1</v>
      </c>
      <c r="AD435" t="s">
        <v>1</v>
      </c>
      <c r="AE435" t="s">
        <v>1</v>
      </c>
      <c r="AF435" t="s">
        <v>1</v>
      </c>
      <c r="AG435" t="s">
        <v>1</v>
      </c>
      <c r="AH435" t="s">
        <v>1</v>
      </c>
      <c r="AI435" t="s">
        <v>1</v>
      </c>
      <c r="AJ435" t="s">
        <v>1</v>
      </c>
      <c r="AK435" t="s">
        <v>1</v>
      </c>
      <c r="AL435" t="s">
        <v>1</v>
      </c>
      <c r="AM435" t="s">
        <v>1</v>
      </c>
      <c r="AN435">
        <v>403</v>
      </c>
      <c r="AO435">
        <f t="shared" si="54"/>
        <v>403</v>
      </c>
      <c r="AP435">
        <f t="shared" si="55"/>
        <v>72</v>
      </c>
      <c r="AQ435">
        <f t="shared" si="57"/>
        <v>72</v>
      </c>
      <c r="AR435" s="26" t="s">
        <v>1355</v>
      </c>
      <c r="AS435" s="26" t="s">
        <v>1356</v>
      </c>
      <c r="AT435" t="s">
        <v>715</v>
      </c>
      <c r="AU435" t="s">
        <v>1</v>
      </c>
      <c r="AV435" t="s">
        <v>1</v>
      </c>
      <c r="AW435">
        <v>47.43</v>
      </c>
      <c r="AX435">
        <v>8.67</v>
      </c>
      <c r="AY435" t="s">
        <v>737</v>
      </c>
      <c r="BA435" s="3">
        <v>3</v>
      </c>
      <c r="BB435" s="3"/>
      <c r="BC435" s="3"/>
      <c r="BD435" s="3"/>
      <c r="BE435" s="3"/>
      <c r="BF435">
        <v>2002</v>
      </c>
      <c r="BG435" s="24" t="s">
        <v>733</v>
      </c>
      <c r="BH435" s="24" t="s">
        <v>733</v>
      </c>
      <c r="BI435" s="24" t="s">
        <v>733</v>
      </c>
      <c r="BJ435" s="24" t="s">
        <v>732</v>
      </c>
      <c r="BK435" s="24" t="s">
        <v>733</v>
      </c>
      <c r="BL435" s="25" t="s">
        <v>733</v>
      </c>
      <c r="BM435" s="24" t="s">
        <v>733</v>
      </c>
      <c r="BN435" s="24" t="s">
        <v>732</v>
      </c>
      <c r="BO435" s="24" t="s">
        <v>733</v>
      </c>
      <c r="BP435" s="24" t="s">
        <v>733</v>
      </c>
      <c r="BQ435" s="24" t="s">
        <v>945</v>
      </c>
      <c r="BR435" s="24" t="s">
        <v>945</v>
      </c>
      <c r="BS435" s="25" t="s">
        <v>934</v>
      </c>
      <c r="BT435" s="24" t="s">
        <v>934</v>
      </c>
      <c r="BU435" s="24" t="s">
        <v>934</v>
      </c>
      <c r="BV435" s="24" t="s">
        <v>934</v>
      </c>
      <c r="BW435" s="24" t="s">
        <v>934</v>
      </c>
      <c r="BX435" s="24" t="s">
        <v>934</v>
      </c>
      <c r="BY435" s="25" t="s">
        <v>945</v>
      </c>
      <c r="BZ435" t="s">
        <v>62</v>
      </c>
      <c r="CB435" t="s">
        <v>113</v>
      </c>
      <c r="CC435" s="4">
        <f>AVERAGE(216,279)*10*0.89</f>
        <v>2202.75</v>
      </c>
      <c r="CD435" s="4"/>
      <c r="CE435" s="4"/>
      <c r="CF435" t="s">
        <v>793</v>
      </c>
      <c r="CG435">
        <v>100</v>
      </c>
      <c r="CH435" t="s">
        <v>805</v>
      </c>
      <c r="CI435" s="28">
        <v>1.5</v>
      </c>
      <c r="CJ435" s="10" t="s">
        <v>1442</v>
      </c>
      <c r="CK435" t="s">
        <v>807</v>
      </c>
      <c r="CL435" s="4">
        <f>AVERAGE(455,555)*10</f>
        <v>5050</v>
      </c>
      <c r="CM435" t="s">
        <v>847</v>
      </c>
      <c r="CN435" s="4">
        <f>(7.2+8.2)*10/2</f>
        <v>77</v>
      </c>
      <c r="CO435" s="4" t="s">
        <v>1</v>
      </c>
      <c r="CP435" s="4" t="s">
        <v>1</v>
      </c>
      <c r="CQ435" s="4" t="s">
        <v>1</v>
      </c>
      <c r="CR435" s="4" t="s">
        <v>1</v>
      </c>
      <c r="CS435" s="4" t="s">
        <v>1</v>
      </c>
      <c r="CT435" s="4" t="s">
        <v>1</v>
      </c>
      <c r="CU435" s="4" t="s">
        <v>1</v>
      </c>
      <c r="CV435" t="s">
        <v>855</v>
      </c>
      <c r="CW435">
        <v>100</v>
      </c>
      <c r="CX435">
        <v>0</v>
      </c>
      <c r="CY435">
        <v>30</v>
      </c>
      <c r="CZ435" s="26" t="s">
        <v>1358</v>
      </c>
      <c r="DA435" t="s">
        <v>734</v>
      </c>
      <c r="DB435">
        <v>54</v>
      </c>
      <c r="DC435">
        <v>0</v>
      </c>
      <c r="DD435">
        <v>30</v>
      </c>
      <c r="DE435" s="26" t="s">
        <v>1358</v>
      </c>
      <c r="DF435" t="s">
        <v>735</v>
      </c>
      <c r="DG435">
        <v>29</v>
      </c>
      <c r="DH435">
        <v>0</v>
      </c>
      <c r="DI435">
        <v>30</v>
      </c>
      <c r="DJ435" s="26" t="s">
        <v>1358</v>
      </c>
      <c r="DK435" t="s">
        <v>736</v>
      </c>
      <c r="DL435">
        <v>17</v>
      </c>
      <c r="DM435">
        <v>0</v>
      </c>
      <c r="DN435">
        <v>30</v>
      </c>
      <c r="DO435" s="26" t="s">
        <v>1358</v>
      </c>
      <c r="DP435" t="s">
        <v>6</v>
      </c>
      <c r="DQ435" t="s">
        <v>1</v>
      </c>
      <c r="DR435">
        <v>8</v>
      </c>
      <c r="DS435">
        <v>0</v>
      </c>
      <c r="DT435">
        <v>30</v>
      </c>
      <c r="DU435" s="26" t="s">
        <v>1358</v>
      </c>
      <c r="EA435" t="s">
        <v>1</v>
      </c>
      <c r="EB435" t="s">
        <v>1</v>
      </c>
      <c r="EC435" t="s">
        <v>1</v>
      </c>
      <c r="ED435" t="s">
        <v>1</v>
      </c>
      <c r="EE435" t="s">
        <v>1</v>
      </c>
      <c r="FZ435" t="s">
        <v>806</v>
      </c>
      <c r="GA435">
        <v>861.66666669999995</v>
      </c>
      <c r="GE435" s="26" t="s">
        <v>1358</v>
      </c>
      <c r="HA435" s="5" t="s">
        <v>1</v>
      </c>
      <c r="HB435" s="4" t="s">
        <v>1</v>
      </c>
      <c r="HC435" t="s">
        <v>1</v>
      </c>
      <c r="HD435" t="s">
        <v>1</v>
      </c>
      <c r="HE435" t="s">
        <v>1</v>
      </c>
      <c r="HF435" s="5" t="s">
        <v>1063</v>
      </c>
      <c r="HG435" s="4">
        <v>0.14482758620689654</v>
      </c>
      <c r="HH435">
        <v>0</v>
      </c>
      <c r="HI435">
        <v>30</v>
      </c>
      <c r="HJ435" s="26" t="s">
        <v>1358</v>
      </c>
      <c r="HK435" t="s">
        <v>815</v>
      </c>
      <c r="HL435" s="4">
        <v>1.45</v>
      </c>
      <c r="HM435">
        <v>0</v>
      </c>
      <c r="HN435">
        <v>30</v>
      </c>
      <c r="HO435" t="s">
        <v>1450</v>
      </c>
      <c r="HP435" s="26" t="s">
        <v>1358</v>
      </c>
      <c r="HZ435" t="s">
        <v>966</v>
      </c>
      <c r="IA435">
        <v>40</v>
      </c>
      <c r="IB435" s="5" t="s">
        <v>1</v>
      </c>
      <c r="IC435" s="5"/>
      <c r="ID435" s="5"/>
      <c r="IE435" s="10" t="s">
        <v>1</v>
      </c>
      <c r="IF435" s="10" t="s">
        <v>1</v>
      </c>
      <c r="IG435" s="10"/>
      <c r="IH435" s="10"/>
      <c r="II435" s="10"/>
      <c r="IJ435" s="10"/>
      <c r="IK435" s="10"/>
      <c r="IL435" s="10"/>
      <c r="IM435" s="10"/>
      <c r="IN435" s="10"/>
      <c r="IO435" s="10"/>
      <c r="IP435" s="10"/>
      <c r="IQ435" s="10"/>
      <c r="IR435" s="10"/>
      <c r="IS435" t="s">
        <v>1</v>
      </c>
      <c r="IT435" t="s">
        <v>1</v>
      </c>
      <c r="IW435" t="s">
        <v>1</v>
      </c>
      <c r="IX435" t="s">
        <v>1</v>
      </c>
      <c r="IY435" t="s">
        <v>1</v>
      </c>
      <c r="IZ435" t="s">
        <v>1</v>
      </c>
      <c r="JA435" t="s">
        <v>1</v>
      </c>
      <c r="JB435" s="3" t="s">
        <v>1</v>
      </c>
      <c r="JC435" t="s">
        <v>1</v>
      </c>
      <c r="JD435" s="4" t="s">
        <v>1</v>
      </c>
      <c r="JE435" t="s">
        <v>1</v>
      </c>
      <c r="JF435" t="s">
        <v>1</v>
      </c>
      <c r="JR435" t="s">
        <v>1066</v>
      </c>
      <c r="JS435">
        <v>150.5</v>
      </c>
      <c r="JU435" t="s">
        <v>1</v>
      </c>
      <c r="JW435" t="s">
        <v>1</v>
      </c>
      <c r="JX435">
        <v>0</v>
      </c>
      <c r="JY435">
        <v>110.00000000000001</v>
      </c>
      <c r="JZ435" t="s">
        <v>804</v>
      </c>
      <c r="KA435" t="s">
        <v>501</v>
      </c>
      <c r="KB435" t="s">
        <v>738</v>
      </c>
      <c r="KC435" t="s">
        <v>1</v>
      </c>
      <c r="KD435" t="s">
        <v>1</v>
      </c>
      <c r="KE435" t="s">
        <v>1</v>
      </c>
      <c r="KF435" t="s">
        <v>1</v>
      </c>
      <c r="KG435" t="s">
        <v>1</v>
      </c>
      <c r="KH435" t="s">
        <v>1</v>
      </c>
      <c r="KI435" t="s">
        <v>1</v>
      </c>
      <c r="KJ435" t="s">
        <v>1</v>
      </c>
      <c r="KK435" t="s">
        <v>1</v>
      </c>
    </row>
    <row r="436" spans="1:297" x14ac:dyDescent="0.2">
      <c r="A436">
        <v>404</v>
      </c>
      <c r="B436" t="s">
        <v>705</v>
      </c>
      <c r="C436" t="s">
        <v>500</v>
      </c>
      <c r="D436" t="s">
        <v>498</v>
      </c>
      <c r="E436">
        <v>72</v>
      </c>
      <c r="F436" t="s">
        <v>499</v>
      </c>
      <c r="G436" t="s">
        <v>1</v>
      </c>
      <c r="H436" s="26" t="s">
        <v>1420</v>
      </c>
      <c r="I436" t="s">
        <v>1</v>
      </c>
      <c r="J436" t="s">
        <v>1</v>
      </c>
      <c r="K436" t="s">
        <v>1</v>
      </c>
      <c r="L436" t="s">
        <v>1</v>
      </c>
      <c r="M436" t="s">
        <v>1</v>
      </c>
      <c r="N436" t="s">
        <v>1</v>
      </c>
      <c r="O436" t="s">
        <v>1</v>
      </c>
      <c r="P436" t="s">
        <v>1</v>
      </c>
      <c r="Q436" t="s">
        <v>1</v>
      </c>
      <c r="R436" t="s">
        <v>1</v>
      </c>
      <c r="S436" t="s">
        <v>1</v>
      </c>
      <c r="T436" t="s">
        <v>1</v>
      </c>
      <c r="U436" t="s">
        <v>1</v>
      </c>
      <c r="V436" t="s">
        <v>1</v>
      </c>
      <c r="W436" t="s">
        <v>1</v>
      </c>
      <c r="X436" t="s">
        <v>1</v>
      </c>
      <c r="Y436" t="s">
        <v>1</v>
      </c>
      <c r="Z436" t="s">
        <v>1</v>
      </c>
      <c r="AA436" t="s">
        <v>1</v>
      </c>
      <c r="AB436" t="s">
        <v>1</v>
      </c>
      <c r="AC436" t="s">
        <v>1</v>
      </c>
      <c r="AD436" t="s">
        <v>1</v>
      </c>
      <c r="AE436" t="s">
        <v>1</v>
      </c>
      <c r="AF436" t="s">
        <v>1</v>
      </c>
      <c r="AG436" t="s">
        <v>1</v>
      </c>
      <c r="AH436" t="s">
        <v>1</v>
      </c>
      <c r="AI436" t="s">
        <v>1</v>
      </c>
      <c r="AJ436" t="s">
        <v>1</v>
      </c>
      <c r="AK436" t="s">
        <v>1</v>
      </c>
      <c r="AL436" t="s">
        <v>1</v>
      </c>
      <c r="AM436" t="s">
        <v>1</v>
      </c>
      <c r="AN436">
        <v>404</v>
      </c>
      <c r="AO436">
        <f t="shared" si="54"/>
        <v>404</v>
      </c>
      <c r="AP436">
        <f t="shared" si="55"/>
        <v>72</v>
      </c>
      <c r="AQ436">
        <f t="shared" si="57"/>
        <v>72</v>
      </c>
      <c r="AR436" s="26" t="s">
        <v>1355</v>
      </c>
      <c r="AS436" s="26" t="s">
        <v>1356</v>
      </c>
      <c r="AT436" t="s">
        <v>715</v>
      </c>
      <c r="AU436" t="s">
        <v>1</v>
      </c>
      <c r="AV436" t="s">
        <v>1</v>
      </c>
      <c r="AW436">
        <v>47.43</v>
      </c>
      <c r="AX436">
        <v>8.67</v>
      </c>
      <c r="AY436" t="s">
        <v>737</v>
      </c>
      <c r="BA436" s="3">
        <v>3</v>
      </c>
      <c r="BB436" s="3"/>
      <c r="BC436" s="3"/>
      <c r="BD436" s="3"/>
      <c r="BE436" s="3"/>
      <c r="BF436">
        <v>2002</v>
      </c>
      <c r="BG436" s="24" t="s">
        <v>733</v>
      </c>
      <c r="BH436" s="24" t="s">
        <v>733</v>
      </c>
      <c r="BI436" s="24" t="s">
        <v>733</v>
      </c>
      <c r="BJ436" s="24" t="s">
        <v>732</v>
      </c>
      <c r="BK436" s="24" t="s">
        <v>733</v>
      </c>
      <c r="BL436" s="25" t="s">
        <v>733</v>
      </c>
      <c r="BM436" s="24" t="s">
        <v>733</v>
      </c>
      <c r="BN436" s="24" t="s">
        <v>732</v>
      </c>
      <c r="BO436" s="24" t="s">
        <v>733</v>
      </c>
      <c r="BP436" s="24" t="s">
        <v>733</v>
      </c>
      <c r="BQ436" s="24" t="s">
        <v>945</v>
      </c>
      <c r="BR436" s="24" t="s">
        <v>945</v>
      </c>
      <c r="BS436" s="25" t="s">
        <v>934</v>
      </c>
      <c r="BT436" s="24" t="s">
        <v>934</v>
      </c>
      <c r="BU436" s="24" t="s">
        <v>934</v>
      </c>
      <c r="BV436" s="24" t="s">
        <v>934</v>
      </c>
      <c r="BW436" s="24" t="s">
        <v>934</v>
      </c>
      <c r="BX436" s="24" t="s">
        <v>934</v>
      </c>
      <c r="BY436" s="25" t="s">
        <v>945</v>
      </c>
      <c r="BZ436" t="s">
        <v>1397</v>
      </c>
      <c r="CB436" t="s">
        <v>502</v>
      </c>
      <c r="CC436" s="4">
        <f>AVERAGE(241,285)*10*0.89</f>
        <v>2340.6999999999998</v>
      </c>
      <c r="CD436" s="4"/>
      <c r="CE436" s="4"/>
      <c r="CF436" t="s">
        <v>793</v>
      </c>
      <c r="CG436">
        <v>100</v>
      </c>
      <c r="CH436" t="s">
        <v>805</v>
      </c>
      <c r="CI436" s="28">
        <v>1.5</v>
      </c>
      <c r="CJ436" s="10" t="s">
        <v>1442</v>
      </c>
      <c r="CK436" t="s">
        <v>807</v>
      </c>
      <c r="CL436" s="4">
        <f>AVERAGE(525,595)*10</f>
        <v>5600</v>
      </c>
      <c r="CM436" t="s">
        <v>847</v>
      </c>
      <c r="CN436" s="4">
        <f>(8.6+8+15.2)*10/2</f>
        <v>159</v>
      </c>
      <c r="CO436" s="4" t="s">
        <v>1</v>
      </c>
      <c r="CP436" s="4" t="s">
        <v>1</v>
      </c>
      <c r="CQ436" s="4" t="s">
        <v>1</v>
      </c>
      <c r="CR436" s="4" t="s">
        <v>1</v>
      </c>
      <c r="CS436" s="4" t="s">
        <v>1</v>
      </c>
      <c r="CT436" s="4" t="s">
        <v>1</v>
      </c>
      <c r="CU436" s="4" t="s">
        <v>1</v>
      </c>
      <c r="CV436" t="s">
        <v>855</v>
      </c>
      <c r="CW436">
        <v>100</v>
      </c>
      <c r="CX436">
        <v>0</v>
      </c>
      <c r="CY436">
        <v>30</v>
      </c>
      <c r="CZ436" s="26" t="s">
        <v>1358</v>
      </c>
      <c r="DA436" t="s">
        <v>734</v>
      </c>
      <c r="DB436">
        <v>54</v>
      </c>
      <c r="DC436">
        <v>0</v>
      </c>
      <c r="DD436">
        <v>30</v>
      </c>
      <c r="DE436" s="26" t="s">
        <v>1358</v>
      </c>
      <c r="DF436" t="s">
        <v>735</v>
      </c>
      <c r="DG436">
        <v>29</v>
      </c>
      <c r="DH436">
        <v>0</v>
      </c>
      <c r="DI436">
        <v>30</v>
      </c>
      <c r="DJ436" s="26" t="s">
        <v>1358</v>
      </c>
      <c r="DK436" t="s">
        <v>736</v>
      </c>
      <c r="DL436">
        <v>17</v>
      </c>
      <c r="DM436">
        <v>0</v>
      </c>
      <c r="DN436">
        <v>30</v>
      </c>
      <c r="DO436" s="26" t="s">
        <v>1358</v>
      </c>
      <c r="DP436" t="s">
        <v>6</v>
      </c>
      <c r="DQ436" t="s">
        <v>1</v>
      </c>
      <c r="DR436">
        <v>8</v>
      </c>
      <c r="DS436">
        <v>0</v>
      </c>
      <c r="DT436">
        <v>30</v>
      </c>
      <c r="DU436" s="26" t="s">
        <v>1358</v>
      </c>
      <c r="EA436" t="s">
        <v>1</v>
      </c>
      <c r="EB436" t="s">
        <v>1</v>
      </c>
      <c r="EC436" t="s">
        <v>1</v>
      </c>
      <c r="ED436" t="s">
        <v>1</v>
      </c>
      <c r="EE436" t="s">
        <v>1</v>
      </c>
      <c r="FZ436" t="s">
        <v>806</v>
      </c>
      <c r="GA436">
        <v>861.66666669999995</v>
      </c>
      <c r="GE436" s="26" t="s">
        <v>1358</v>
      </c>
      <c r="HA436" s="5" t="s">
        <v>1</v>
      </c>
      <c r="HB436" s="4" t="s">
        <v>1</v>
      </c>
      <c r="HC436" t="s">
        <v>1</v>
      </c>
      <c r="HD436" t="s">
        <v>1</v>
      </c>
      <c r="HE436" t="s">
        <v>1</v>
      </c>
      <c r="HF436" s="5" t="s">
        <v>1063</v>
      </c>
      <c r="HG436" s="4">
        <v>0.14482758620689654</v>
      </c>
      <c r="HH436">
        <v>0</v>
      </c>
      <c r="HI436">
        <v>30</v>
      </c>
      <c r="HJ436" s="26" t="s">
        <v>1358</v>
      </c>
      <c r="HK436" t="s">
        <v>815</v>
      </c>
      <c r="HL436" s="4">
        <v>1.45</v>
      </c>
      <c r="HM436">
        <v>0</v>
      </c>
      <c r="HN436">
        <v>30</v>
      </c>
      <c r="HO436" t="s">
        <v>1450</v>
      </c>
      <c r="HP436" s="26" t="s">
        <v>1358</v>
      </c>
      <c r="HZ436" t="s">
        <v>966</v>
      </c>
      <c r="IA436">
        <v>40</v>
      </c>
      <c r="IB436" s="5" t="s">
        <v>1</v>
      </c>
      <c r="IC436" s="5"/>
      <c r="ID436" s="5"/>
      <c r="IE436" s="10" t="s">
        <v>1</v>
      </c>
      <c r="IF436" s="10" t="s">
        <v>1</v>
      </c>
      <c r="IG436" s="10"/>
      <c r="IH436" s="10"/>
      <c r="II436" s="10"/>
      <c r="IJ436" s="10"/>
      <c r="IK436" s="10"/>
      <c r="IL436" s="10"/>
      <c r="IM436" s="10"/>
      <c r="IN436" s="10"/>
      <c r="IO436" s="10"/>
      <c r="IP436" s="10"/>
      <c r="IQ436" s="10"/>
      <c r="IR436" s="10"/>
      <c r="IS436" t="s">
        <v>1</v>
      </c>
      <c r="IT436" t="s">
        <v>1</v>
      </c>
      <c r="IW436" t="s">
        <v>1</v>
      </c>
      <c r="IX436" t="s">
        <v>1</v>
      </c>
      <c r="IY436" t="s">
        <v>1</v>
      </c>
      <c r="IZ436" t="s">
        <v>1</v>
      </c>
      <c r="JA436" t="s">
        <v>1</v>
      </c>
      <c r="JB436" s="3" t="s">
        <v>1</v>
      </c>
      <c r="JC436" t="s">
        <v>1</v>
      </c>
      <c r="JD436" s="4" t="s">
        <v>1</v>
      </c>
      <c r="JE436" t="s">
        <v>1</v>
      </c>
      <c r="JF436" t="s">
        <v>1</v>
      </c>
      <c r="JR436" t="s">
        <v>1066</v>
      </c>
      <c r="JS436">
        <v>97.4</v>
      </c>
      <c r="JU436" t="s">
        <v>1</v>
      </c>
      <c r="JW436" t="s">
        <v>1</v>
      </c>
      <c r="JX436">
        <v>0</v>
      </c>
      <c r="JY436">
        <v>110.00000000000001</v>
      </c>
      <c r="JZ436" t="s">
        <v>804</v>
      </c>
      <c r="KA436" t="s">
        <v>501</v>
      </c>
      <c r="KB436" t="s">
        <v>738</v>
      </c>
      <c r="KC436" t="s">
        <v>1</v>
      </c>
      <c r="KD436" t="s">
        <v>1</v>
      </c>
      <c r="KE436" t="s">
        <v>1</v>
      </c>
      <c r="KF436" t="s">
        <v>1</v>
      </c>
      <c r="KG436" t="s">
        <v>1</v>
      </c>
      <c r="KH436" t="s">
        <v>1</v>
      </c>
      <c r="KI436" t="s">
        <v>1</v>
      </c>
      <c r="KJ436" t="s">
        <v>1</v>
      </c>
      <c r="KK436" t="s">
        <v>1</v>
      </c>
    </row>
    <row r="437" spans="1:297" x14ac:dyDescent="0.2">
      <c r="A437">
        <v>405</v>
      </c>
      <c r="B437" t="s">
        <v>705</v>
      </c>
      <c r="C437" t="s">
        <v>500</v>
      </c>
      <c r="D437" t="s">
        <v>498</v>
      </c>
      <c r="E437">
        <v>72</v>
      </c>
      <c r="F437" t="s">
        <v>499</v>
      </c>
      <c r="G437" t="s">
        <v>1</v>
      </c>
      <c r="H437" s="26" t="s">
        <v>1420</v>
      </c>
      <c r="I437" t="s">
        <v>1</v>
      </c>
      <c r="J437" t="s">
        <v>1</v>
      </c>
      <c r="K437" t="s">
        <v>1</v>
      </c>
      <c r="L437" t="s">
        <v>1</v>
      </c>
      <c r="M437" t="s">
        <v>1</v>
      </c>
      <c r="N437" t="s">
        <v>1</v>
      </c>
      <c r="O437" t="s">
        <v>1</v>
      </c>
      <c r="P437" t="s">
        <v>1</v>
      </c>
      <c r="Q437" t="s">
        <v>1</v>
      </c>
      <c r="R437" t="s">
        <v>1</v>
      </c>
      <c r="S437" t="s">
        <v>1</v>
      </c>
      <c r="T437" t="s">
        <v>1</v>
      </c>
      <c r="U437" t="s">
        <v>1</v>
      </c>
      <c r="V437" t="s">
        <v>1</v>
      </c>
      <c r="W437" t="s">
        <v>1</v>
      </c>
      <c r="X437" t="s">
        <v>1</v>
      </c>
      <c r="Y437" t="s">
        <v>1</v>
      </c>
      <c r="Z437" t="s">
        <v>1</v>
      </c>
      <c r="AA437" t="s">
        <v>1</v>
      </c>
      <c r="AB437" t="s">
        <v>1</v>
      </c>
      <c r="AC437" t="s">
        <v>1</v>
      </c>
      <c r="AD437" t="s">
        <v>1</v>
      </c>
      <c r="AE437" t="s">
        <v>1</v>
      </c>
      <c r="AF437" t="s">
        <v>1</v>
      </c>
      <c r="AG437" t="s">
        <v>1</v>
      </c>
      <c r="AH437" t="s">
        <v>1</v>
      </c>
      <c r="AI437" t="s">
        <v>1</v>
      </c>
      <c r="AJ437" t="s">
        <v>1</v>
      </c>
      <c r="AK437" t="s">
        <v>1</v>
      </c>
      <c r="AL437" t="s">
        <v>1</v>
      </c>
      <c r="AM437" t="s">
        <v>1</v>
      </c>
      <c r="AN437">
        <v>405</v>
      </c>
      <c r="AO437">
        <f t="shared" si="54"/>
        <v>405</v>
      </c>
      <c r="AP437">
        <f t="shared" si="55"/>
        <v>72</v>
      </c>
      <c r="AQ437">
        <f t="shared" si="57"/>
        <v>72</v>
      </c>
      <c r="AR437" s="26" t="s">
        <v>1355</v>
      </c>
      <c r="AS437" s="26" t="s">
        <v>1356</v>
      </c>
      <c r="AT437" t="s">
        <v>715</v>
      </c>
      <c r="AU437" t="s">
        <v>1</v>
      </c>
      <c r="AV437" t="s">
        <v>1</v>
      </c>
      <c r="AW437">
        <v>47.43</v>
      </c>
      <c r="AX437">
        <v>8.67</v>
      </c>
      <c r="AY437" t="s">
        <v>737</v>
      </c>
      <c r="BA437" s="3">
        <v>3</v>
      </c>
      <c r="BB437" s="3"/>
      <c r="BC437" s="3"/>
      <c r="BD437" s="3"/>
      <c r="BE437" s="3"/>
      <c r="BF437">
        <v>2002</v>
      </c>
      <c r="BG437" s="24" t="s">
        <v>733</v>
      </c>
      <c r="BH437" s="24" t="s">
        <v>733</v>
      </c>
      <c r="BI437" s="24" t="s">
        <v>733</v>
      </c>
      <c r="BJ437" s="24" t="s">
        <v>732</v>
      </c>
      <c r="BK437" s="24" t="s">
        <v>733</v>
      </c>
      <c r="BL437" s="25" t="s">
        <v>733</v>
      </c>
      <c r="BM437" s="24" t="s">
        <v>733</v>
      </c>
      <c r="BN437" s="24" t="s">
        <v>732</v>
      </c>
      <c r="BO437" s="24" t="s">
        <v>733</v>
      </c>
      <c r="BP437" s="24" t="s">
        <v>733</v>
      </c>
      <c r="BQ437" s="24" t="s">
        <v>945</v>
      </c>
      <c r="BR437" s="24" t="s">
        <v>945</v>
      </c>
      <c r="BS437" s="25" t="s">
        <v>934</v>
      </c>
      <c r="BT437" s="24" t="s">
        <v>934</v>
      </c>
      <c r="BU437" s="24" t="s">
        <v>934</v>
      </c>
      <c r="BV437" s="24" t="s">
        <v>934</v>
      </c>
      <c r="BW437" s="24" t="s">
        <v>934</v>
      </c>
      <c r="BX437" s="24" t="s">
        <v>934</v>
      </c>
      <c r="BY437" s="25" t="s">
        <v>945</v>
      </c>
      <c r="BZ437" t="s">
        <v>1397</v>
      </c>
      <c r="CB437" t="s">
        <v>502</v>
      </c>
      <c r="CC437" s="4">
        <f>AVERAGE(220,256)*10*0.89</f>
        <v>2118.1999999999998</v>
      </c>
      <c r="CD437" s="4"/>
      <c r="CE437" s="4"/>
      <c r="CF437" t="s">
        <v>793</v>
      </c>
      <c r="CG437">
        <v>100</v>
      </c>
      <c r="CH437" t="s">
        <v>805</v>
      </c>
      <c r="CI437" s="28">
        <v>1.5</v>
      </c>
      <c r="CJ437" s="10" t="s">
        <v>1442</v>
      </c>
      <c r="CK437" t="s">
        <v>807</v>
      </c>
      <c r="CL437" s="4">
        <f>AVERAGE(504,517)*10</f>
        <v>5105</v>
      </c>
      <c r="CM437" t="s">
        <v>847</v>
      </c>
      <c r="CN437" s="4">
        <f>(7+7.1+16)*10/2</f>
        <v>150.5</v>
      </c>
      <c r="CO437" s="4" t="s">
        <v>1</v>
      </c>
      <c r="CP437" s="4" t="s">
        <v>1</v>
      </c>
      <c r="CQ437" s="4" t="s">
        <v>1</v>
      </c>
      <c r="CR437" s="4" t="s">
        <v>1</v>
      </c>
      <c r="CS437" s="4" t="s">
        <v>1</v>
      </c>
      <c r="CT437" s="4" t="s">
        <v>1</v>
      </c>
      <c r="CU437" s="4" t="s">
        <v>1</v>
      </c>
      <c r="CV437" t="s">
        <v>855</v>
      </c>
      <c r="CW437">
        <v>100</v>
      </c>
      <c r="CX437">
        <v>0</v>
      </c>
      <c r="CY437">
        <v>30</v>
      </c>
      <c r="CZ437" s="26" t="s">
        <v>1358</v>
      </c>
      <c r="DA437" t="s">
        <v>734</v>
      </c>
      <c r="DB437">
        <v>54</v>
      </c>
      <c r="DC437">
        <v>0</v>
      </c>
      <c r="DD437">
        <v>30</v>
      </c>
      <c r="DE437" s="26" t="s">
        <v>1358</v>
      </c>
      <c r="DF437" t="s">
        <v>735</v>
      </c>
      <c r="DG437">
        <v>29</v>
      </c>
      <c r="DH437">
        <v>0</v>
      </c>
      <c r="DI437">
        <v>30</v>
      </c>
      <c r="DJ437" s="26" t="s">
        <v>1358</v>
      </c>
      <c r="DK437" t="s">
        <v>736</v>
      </c>
      <c r="DL437">
        <v>17</v>
      </c>
      <c r="DM437">
        <v>0</v>
      </c>
      <c r="DN437">
        <v>30</v>
      </c>
      <c r="DO437" s="26" t="s">
        <v>1358</v>
      </c>
      <c r="DP437" t="s">
        <v>6</v>
      </c>
      <c r="DQ437" t="s">
        <v>1</v>
      </c>
      <c r="DR437">
        <v>8</v>
      </c>
      <c r="DS437">
        <v>0</v>
      </c>
      <c r="DT437">
        <v>30</v>
      </c>
      <c r="DU437" s="26" t="s">
        <v>1358</v>
      </c>
      <c r="EA437" t="s">
        <v>1</v>
      </c>
      <c r="EB437" t="s">
        <v>1</v>
      </c>
      <c r="EC437" t="s">
        <v>1</v>
      </c>
      <c r="ED437" t="s">
        <v>1</v>
      </c>
      <c r="EE437" t="s">
        <v>1</v>
      </c>
      <c r="FZ437" t="s">
        <v>806</v>
      </c>
      <c r="GA437">
        <v>861.66666669999995</v>
      </c>
      <c r="GE437" s="26" t="s">
        <v>1358</v>
      </c>
      <c r="HA437" s="5" t="s">
        <v>1</v>
      </c>
      <c r="HB437" s="4" t="s">
        <v>1</v>
      </c>
      <c r="HC437" t="s">
        <v>1</v>
      </c>
      <c r="HD437" t="s">
        <v>1</v>
      </c>
      <c r="HE437" t="s">
        <v>1</v>
      </c>
      <c r="HF437" s="5" t="s">
        <v>1063</v>
      </c>
      <c r="HG437" s="4">
        <v>0.14482758620689654</v>
      </c>
      <c r="HH437">
        <v>0</v>
      </c>
      <c r="HI437">
        <v>30</v>
      </c>
      <c r="HJ437" s="26" t="s">
        <v>1358</v>
      </c>
      <c r="HK437" t="s">
        <v>815</v>
      </c>
      <c r="HL437" s="4">
        <v>1.45</v>
      </c>
      <c r="HM437">
        <v>0</v>
      </c>
      <c r="HN437">
        <v>30</v>
      </c>
      <c r="HO437" t="s">
        <v>1450</v>
      </c>
      <c r="HP437" s="26" t="s">
        <v>1358</v>
      </c>
      <c r="HZ437" t="s">
        <v>966</v>
      </c>
      <c r="IA437">
        <v>40</v>
      </c>
      <c r="IB437" s="5" t="s">
        <v>1</v>
      </c>
      <c r="IC437" s="5"/>
      <c r="ID437" s="5"/>
      <c r="IE437" s="10" t="s">
        <v>1</v>
      </c>
      <c r="IF437" s="10" t="s">
        <v>1</v>
      </c>
      <c r="IG437" s="10"/>
      <c r="IH437" s="10"/>
      <c r="II437" s="10"/>
      <c r="IJ437" s="10"/>
      <c r="IK437" s="10"/>
      <c r="IL437" s="10"/>
      <c r="IM437" s="10"/>
      <c r="IN437" s="10"/>
      <c r="IO437" s="10"/>
      <c r="IP437" s="10"/>
      <c r="IQ437" s="10"/>
      <c r="IR437" s="10"/>
      <c r="IS437" t="s">
        <v>1</v>
      </c>
      <c r="IT437" t="s">
        <v>1</v>
      </c>
      <c r="IW437" t="s">
        <v>1</v>
      </c>
      <c r="IX437" t="s">
        <v>1</v>
      </c>
      <c r="IY437" t="s">
        <v>1</v>
      </c>
      <c r="IZ437" t="s">
        <v>1</v>
      </c>
      <c r="JA437" t="s">
        <v>1</v>
      </c>
      <c r="JB437" s="3" t="s">
        <v>1</v>
      </c>
      <c r="JC437" t="s">
        <v>1</v>
      </c>
      <c r="JD437" s="4" t="s">
        <v>1</v>
      </c>
      <c r="JE437" t="s">
        <v>1</v>
      </c>
      <c r="JF437" t="s">
        <v>1</v>
      </c>
      <c r="JR437" t="s">
        <v>1066</v>
      </c>
      <c r="JS437">
        <v>93</v>
      </c>
      <c r="JU437" t="s">
        <v>1</v>
      </c>
      <c r="JW437" t="s">
        <v>1</v>
      </c>
      <c r="JX437">
        <v>0</v>
      </c>
      <c r="JY437">
        <v>110.00000000000001</v>
      </c>
      <c r="JZ437" t="s">
        <v>804</v>
      </c>
      <c r="KA437" t="s">
        <v>501</v>
      </c>
      <c r="KB437" t="s">
        <v>738</v>
      </c>
      <c r="KC437" t="s">
        <v>1</v>
      </c>
      <c r="KD437" t="s">
        <v>1</v>
      </c>
      <c r="KE437" t="s">
        <v>1</v>
      </c>
      <c r="KF437" t="s">
        <v>1</v>
      </c>
      <c r="KG437" t="s">
        <v>1</v>
      </c>
      <c r="KH437" t="s">
        <v>1</v>
      </c>
      <c r="KI437" t="s">
        <v>1</v>
      </c>
      <c r="KJ437" t="s">
        <v>1</v>
      </c>
      <c r="KK437" t="s">
        <v>1</v>
      </c>
    </row>
    <row r="438" spans="1:297" x14ac:dyDescent="0.2">
      <c r="A438">
        <v>406</v>
      </c>
      <c r="B438" t="s">
        <v>705</v>
      </c>
      <c r="C438" t="s">
        <v>500</v>
      </c>
      <c r="D438" t="s">
        <v>498</v>
      </c>
      <c r="E438">
        <v>72</v>
      </c>
      <c r="F438" t="s">
        <v>499</v>
      </c>
      <c r="G438" t="s">
        <v>1</v>
      </c>
      <c r="H438" s="26" t="s">
        <v>1420</v>
      </c>
      <c r="I438" t="s">
        <v>1</v>
      </c>
      <c r="J438" t="s">
        <v>1</v>
      </c>
      <c r="K438" t="s">
        <v>1</v>
      </c>
      <c r="L438" t="s">
        <v>1</v>
      </c>
      <c r="M438" t="s">
        <v>1</v>
      </c>
      <c r="N438" t="s">
        <v>1</v>
      </c>
      <c r="O438" t="s">
        <v>1</v>
      </c>
      <c r="P438" t="s">
        <v>1</v>
      </c>
      <c r="Q438" t="s">
        <v>1</v>
      </c>
      <c r="R438" t="s">
        <v>1</v>
      </c>
      <c r="S438" t="s">
        <v>1</v>
      </c>
      <c r="T438" t="s">
        <v>1</v>
      </c>
      <c r="U438" t="s">
        <v>1</v>
      </c>
      <c r="V438" t="s">
        <v>1</v>
      </c>
      <c r="W438" t="s">
        <v>1</v>
      </c>
      <c r="X438" t="s">
        <v>1</v>
      </c>
      <c r="Y438" t="s">
        <v>1</v>
      </c>
      <c r="Z438" t="s">
        <v>1</v>
      </c>
      <c r="AA438" t="s">
        <v>1</v>
      </c>
      <c r="AB438" t="s">
        <v>1</v>
      </c>
      <c r="AC438" t="s">
        <v>1</v>
      </c>
      <c r="AD438" t="s">
        <v>1</v>
      </c>
      <c r="AE438" t="s">
        <v>1</v>
      </c>
      <c r="AF438" t="s">
        <v>1</v>
      </c>
      <c r="AG438" t="s">
        <v>1</v>
      </c>
      <c r="AH438" t="s">
        <v>1</v>
      </c>
      <c r="AI438" t="s">
        <v>1</v>
      </c>
      <c r="AJ438" t="s">
        <v>1</v>
      </c>
      <c r="AK438" t="s">
        <v>1</v>
      </c>
      <c r="AL438" t="s">
        <v>1</v>
      </c>
      <c r="AM438" t="s">
        <v>1</v>
      </c>
      <c r="AN438">
        <v>406</v>
      </c>
      <c r="AO438">
        <f t="shared" si="54"/>
        <v>406</v>
      </c>
      <c r="AP438">
        <f t="shared" si="55"/>
        <v>72</v>
      </c>
      <c r="AQ438">
        <f t="shared" si="57"/>
        <v>72</v>
      </c>
      <c r="AR438" s="26" t="s">
        <v>1355</v>
      </c>
      <c r="AS438" s="26" t="s">
        <v>1356</v>
      </c>
      <c r="AT438" t="s">
        <v>715</v>
      </c>
      <c r="AU438" t="s">
        <v>1</v>
      </c>
      <c r="AV438" t="s">
        <v>1</v>
      </c>
      <c r="AW438">
        <v>47.43</v>
      </c>
      <c r="AX438">
        <v>8.67</v>
      </c>
      <c r="AY438" t="s">
        <v>737</v>
      </c>
      <c r="BA438" s="3">
        <v>3</v>
      </c>
      <c r="BB438" s="3"/>
      <c r="BC438" s="3"/>
      <c r="BD438" s="3"/>
      <c r="BE438" s="3"/>
      <c r="BF438">
        <v>2002</v>
      </c>
      <c r="BG438" s="24" t="s">
        <v>733</v>
      </c>
      <c r="BH438" s="24" t="s">
        <v>733</v>
      </c>
      <c r="BI438" s="24" t="s">
        <v>733</v>
      </c>
      <c r="BJ438" s="24" t="s">
        <v>732</v>
      </c>
      <c r="BK438" s="24" t="s">
        <v>733</v>
      </c>
      <c r="BL438" s="25" t="s">
        <v>733</v>
      </c>
      <c r="BM438" s="24" t="s">
        <v>733</v>
      </c>
      <c r="BN438" s="24" t="s">
        <v>732</v>
      </c>
      <c r="BO438" s="24" t="s">
        <v>733</v>
      </c>
      <c r="BP438" s="24" t="s">
        <v>733</v>
      </c>
      <c r="BQ438" s="24" t="s">
        <v>945</v>
      </c>
      <c r="BR438" s="24" t="s">
        <v>945</v>
      </c>
      <c r="BS438" s="25" t="s">
        <v>934</v>
      </c>
      <c r="BT438" s="24" t="s">
        <v>934</v>
      </c>
      <c r="BU438" s="24" t="s">
        <v>934</v>
      </c>
      <c r="BV438" s="24" t="s">
        <v>934</v>
      </c>
      <c r="BW438" s="24" t="s">
        <v>934</v>
      </c>
      <c r="BX438" s="24" t="s">
        <v>934</v>
      </c>
      <c r="BY438" s="25" t="s">
        <v>945</v>
      </c>
      <c r="BZ438" t="s">
        <v>1397</v>
      </c>
      <c r="CB438" t="s">
        <v>502</v>
      </c>
      <c r="CC438" s="4">
        <f>AVERAGE(222,232)*10*0.89</f>
        <v>2020.3</v>
      </c>
      <c r="CD438" s="4"/>
      <c r="CE438" s="4"/>
      <c r="CF438" t="s">
        <v>793</v>
      </c>
      <c r="CG438">
        <v>100</v>
      </c>
      <c r="CH438" t="s">
        <v>805</v>
      </c>
      <c r="CI438" s="28">
        <v>1.5</v>
      </c>
      <c r="CJ438" s="10" t="s">
        <v>1442</v>
      </c>
      <c r="CK438" t="s">
        <v>807</v>
      </c>
      <c r="CL438" s="4">
        <f>AVERAGE(480,494)*10</f>
        <v>4870</v>
      </c>
      <c r="CM438" t="s">
        <v>847</v>
      </c>
      <c r="CN438" s="4">
        <f>(7.1+6.9+17.8)*10/2</f>
        <v>159</v>
      </c>
      <c r="CO438" s="4" t="s">
        <v>1</v>
      </c>
      <c r="CP438" s="4" t="s">
        <v>1</v>
      </c>
      <c r="CQ438" s="4" t="s">
        <v>1</v>
      </c>
      <c r="CR438" s="4" t="s">
        <v>1</v>
      </c>
      <c r="CS438" s="4" t="s">
        <v>1</v>
      </c>
      <c r="CT438" s="4" t="s">
        <v>1</v>
      </c>
      <c r="CU438" s="4" t="s">
        <v>1</v>
      </c>
      <c r="CV438" t="s">
        <v>855</v>
      </c>
      <c r="CW438">
        <v>100</v>
      </c>
      <c r="CX438">
        <v>0</v>
      </c>
      <c r="CY438">
        <v>30</v>
      </c>
      <c r="CZ438" s="26" t="s">
        <v>1358</v>
      </c>
      <c r="DA438" t="s">
        <v>734</v>
      </c>
      <c r="DB438">
        <v>54</v>
      </c>
      <c r="DC438">
        <v>0</v>
      </c>
      <c r="DD438">
        <v>30</v>
      </c>
      <c r="DE438" s="26" t="s">
        <v>1358</v>
      </c>
      <c r="DF438" t="s">
        <v>735</v>
      </c>
      <c r="DG438">
        <v>29</v>
      </c>
      <c r="DH438">
        <v>0</v>
      </c>
      <c r="DI438">
        <v>30</v>
      </c>
      <c r="DJ438" s="26" t="s">
        <v>1358</v>
      </c>
      <c r="DK438" t="s">
        <v>736</v>
      </c>
      <c r="DL438">
        <v>17</v>
      </c>
      <c r="DM438">
        <v>0</v>
      </c>
      <c r="DN438">
        <v>30</v>
      </c>
      <c r="DO438" s="26" t="s">
        <v>1358</v>
      </c>
      <c r="DP438" t="s">
        <v>6</v>
      </c>
      <c r="DQ438" t="s">
        <v>1</v>
      </c>
      <c r="DR438">
        <v>8</v>
      </c>
      <c r="DS438">
        <v>0</v>
      </c>
      <c r="DT438">
        <v>30</v>
      </c>
      <c r="DU438" s="26" t="s">
        <v>1358</v>
      </c>
      <c r="EA438" t="s">
        <v>1</v>
      </c>
      <c r="EB438" t="s">
        <v>1</v>
      </c>
      <c r="EC438" t="s">
        <v>1</v>
      </c>
      <c r="ED438" t="s">
        <v>1</v>
      </c>
      <c r="EE438" t="s">
        <v>1</v>
      </c>
      <c r="FZ438" t="s">
        <v>806</v>
      </c>
      <c r="GA438">
        <v>861.66666669999995</v>
      </c>
      <c r="GE438" s="26" t="s">
        <v>1358</v>
      </c>
      <c r="HA438" s="5" t="s">
        <v>1</v>
      </c>
      <c r="HB438" s="4" t="s">
        <v>1</v>
      </c>
      <c r="HC438" t="s">
        <v>1</v>
      </c>
      <c r="HD438" t="s">
        <v>1</v>
      </c>
      <c r="HE438" t="s">
        <v>1</v>
      </c>
      <c r="HF438" s="5" t="s">
        <v>1063</v>
      </c>
      <c r="HG438" s="4">
        <v>0.14482758620689654</v>
      </c>
      <c r="HH438">
        <v>0</v>
      </c>
      <c r="HI438">
        <v>30</v>
      </c>
      <c r="HJ438" s="26" t="s">
        <v>1358</v>
      </c>
      <c r="HK438" t="s">
        <v>815</v>
      </c>
      <c r="HL438" s="4">
        <v>1.45</v>
      </c>
      <c r="HM438">
        <v>0</v>
      </c>
      <c r="HN438">
        <v>30</v>
      </c>
      <c r="HO438" t="s">
        <v>1450</v>
      </c>
      <c r="HP438" s="26" t="s">
        <v>1358</v>
      </c>
      <c r="HZ438" t="s">
        <v>966</v>
      </c>
      <c r="IA438">
        <v>40</v>
      </c>
      <c r="IB438" s="5" t="s">
        <v>1</v>
      </c>
      <c r="IC438" s="5"/>
      <c r="ID438" s="5"/>
      <c r="IE438" s="10" t="s">
        <v>1</v>
      </c>
      <c r="IF438" s="10" t="s">
        <v>1</v>
      </c>
      <c r="IG438" s="10"/>
      <c r="IH438" s="10"/>
      <c r="II438" s="10"/>
      <c r="IJ438" s="10"/>
      <c r="IK438" s="10"/>
      <c r="IL438" s="10"/>
      <c r="IM438" s="10"/>
      <c r="IN438" s="10"/>
      <c r="IO438" s="10"/>
      <c r="IP438" s="10"/>
      <c r="IQ438" s="10"/>
      <c r="IR438" s="10"/>
      <c r="IS438" t="s">
        <v>1</v>
      </c>
      <c r="IT438" t="s">
        <v>1</v>
      </c>
      <c r="IW438" t="s">
        <v>1</v>
      </c>
      <c r="IX438" t="s">
        <v>1</v>
      </c>
      <c r="IY438" t="s">
        <v>1</v>
      </c>
      <c r="IZ438" t="s">
        <v>1</v>
      </c>
      <c r="JA438" t="s">
        <v>1</v>
      </c>
      <c r="JB438" s="3" t="s">
        <v>1</v>
      </c>
      <c r="JC438" t="s">
        <v>1</v>
      </c>
      <c r="JD438" s="4" t="s">
        <v>1</v>
      </c>
      <c r="JE438" t="s">
        <v>1</v>
      </c>
      <c r="JF438" t="s">
        <v>1</v>
      </c>
      <c r="JR438" t="s">
        <v>1066</v>
      </c>
      <c r="JS438">
        <v>99.6</v>
      </c>
      <c r="JU438" t="s">
        <v>1</v>
      </c>
      <c r="JW438" t="s">
        <v>1</v>
      </c>
      <c r="JX438">
        <v>0</v>
      </c>
      <c r="JY438">
        <v>110.00000000000001</v>
      </c>
      <c r="JZ438" t="s">
        <v>804</v>
      </c>
      <c r="KA438" t="s">
        <v>501</v>
      </c>
      <c r="KB438" t="s">
        <v>738</v>
      </c>
      <c r="KC438" t="s">
        <v>1</v>
      </c>
      <c r="KD438" t="s">
        <v>1</v>
      </c>
      <c r="KE438" t="s">
        <v>1</v>
      </c>
      <c r="KF438" t="s">
        <v>1</v>
      </c>
      <c r="KG438" t="s">
        <v>1</v>
      </c>
      <c r="KH438" t="s">
        <v>1</v>
      </c>
      <c r="KI438" t="s">
        <v>1</v>
      </c>
      <c r="KJ438" t="s">
        <v>1</v>
      </c>
      <c r="KK438" t="s">
        <v>1</v>
      </c>
    </row>
    <row r="439" spans="1:297" x14ac:dyDescent="0.2">
      <c r="A439">
        <v>407</v>
      </c>
      <c r="B439" t="s">
        <v>705</v>
      </c>
      <c r="C439" t="s">
        <v>503</v>
      </c>
      <c r="D439" t="s">
        <v>498</v>
      </c>
      <c r="E439">
        <v>72</v>
      </c>
      <c r="F439" t="s">
        <v>499</v>
      </c>
      <c r="G439" t="s">
        <v>1</v>
      </c>
      <c r="H439" s="26" t="s">
        <v>1420</v>
      </c>
      <c r="I439" t="s">
        <v>1</v>
      </c>
      <c r="J439" t="s">
        <v>1</v>
      </c>
      <c r="K439" t="s">
        <v>1</v>
      </c>
      <c r="L439" t="s">
        <v>1</v>
      </c>
      <c r="M439" t="s">
        <v>1</v>
      </c>
      <c r="N439" t="s">
        <v>1</v>
      </c>
      <c r="O439" t="s">
        <v>1</v>
      </c>
      <c r="P439" t="s">
        <v>1</v>
      </c>
      <c r="Q439" t="s">
        <v>1</v>
      </c>
      <c r="R439" t="s">
        <v>1</v>
      </c>
      <c r="S439" t="s">
        <v>1</v>
      </c>
      <c r="T439" t="s">
        <v>1</v>
      </c>
      <c r="U439" t="s">
        <v>1</v>
      </c>
      <c r="V439" t="s">
        <v>1</v>
      </c>
      <c r="W439" t="s">
        <v>1</v>
      </c>
      <c r="X439" t="s">
        <v>1</v>
      </c>
      <c r="Y439" t="s">
        <v>1</v>
      </c>
      <c r="Z439" t="s">
        <v>1</v>
      </c>
      <c r="AA439" t="s">
        <v>1</v>
      </c>
      <c r="AB439" t="s">
        <v>1</v>
      </c>
      <c r="AC439" t="s">
        <v>1</v>
      </c>
      <c r="AD439" t="s">
        <v>1</v>
      </c>
      <c r="AE439" t="s">
        <v>1</v>
      </c>
      <c r="AF439" t="s">
        <v>1</v>
      </c>
      <c r="AG439" t="s">
        <v>1</v>
      </c>
      <c r="AH439" t="s">
        <v>1</v>
      </c>
      <c r="AI439" t="s">
        <v>1</v>
      </c>
      <c r="AJ439" t="s">
        <v>1</v>
      </c>
      <c r="AK439" t="s">
        <v>1</v>
      </c>
      <c r="AL439" t="s">
        <v>1</v>
      </c>
      <c r="AM439" t="s">
        <v>1</v>
      </c>
      <c r="AN439">
        <v>407</v>
      </c>
      <c r="AO439">
        <f t="shared" si="54"/>
        <v>407</v>
      </c>
      <c r="AP439">
        <f t="shared" si="55"/>
        <v>72</v>
      </c>
      <c r="AQ439">
        <f t="shared" si="57"/>
        <v>72</v>
      </c>
      <c r="AR439" s="26" t="s">
        <v>1355</v>
      </c>
      <c r="AS439" s="26" t="s">
        <v>1356</v>
      </c>
      <c r="AT439" t="s">
        <v>715</v>
      </c>
      <c r="AU439" t="s">
        <v>1</v>
      </c>
      <c r="AV439" t="s">
        <v>1</v>
      </c>
      <c r="AW439">
        <v>47.43</v>
      </c>
      <c r="AX439">
        <v>8.67</v>
      </c>
      <c r="AY439" t="s">
        <v>737</v>
      </c>
      <c r="BA439" s="3">
        <v>3</v>
      </c>
      <c r="BB439" s="3"/>
      <c r="BC439" s="3"/>
      <c r="BD439" s="3"/>
      <c r="BE439" s="3"/>
      <c r="BF439">
        <v>2002</v>
      </c>
      <c r="BG439" s="24" t="s">
        <v>733</v>
      </c>
      <c r="BH439" s="24" t="s">
        <v>733</v>
      </c>
      <c r="BI439" s="24" t="s">
        <v>733</v>
      </c>
      <c r="BJ439" s="24" t="s">
        <v>732</v>
      </c>
      <c r="BK439" s="24" t="s">
        <v>733</v>
      </c>
      <c r="BL439" s="25" t="s">
        <v>733</v>
      </c>
      <c r="BM439" s="24" t="s">
        <v>733</v>
      </c>
      <c r="BN439" s="24" t="s">
        <v>732</v>
      </c>
      <c r="BO439" s="24" t="s">
        <v>733</v>
      </c>
      <c r="BP439" s="24" t="s">
        <v>733</v>
      </c>
      <c r="BQ439" s="24" t="s">
        <v>945</v>
      </c>
      <c r="BR439" s="24" t="s">
        <v>945</v>
      </c>
      <c r="BS439" s="25" t="s">
        <v>934</v>
      </c>
      <c r="BT439" s="24" t="s">
        <v>934</v>
      </c>
      <c r="BU439" s="24" t="s">
        <v>934</v>
      </c>
      <c r="BV439" s="24" t="s">
        <v>934</v>
      </c>
      <c r="BW439" s="24" t="s">
        <v>934</v>
      </c>
      <c r="BX439" s="24" t="s">
        <v>934</v>
      </c>
      <c r="BY439" s="25" t="s">
        <v>945</v>
      </c>
      <c r="BZ439" t="s">
        <v>62</v>
      </c>
      <c r="CB439" t="s">
        <v>113</v>
      </c>
      <c r="CC439" s="4">
        <f>AVERAGE(587,459)*10*0.89</f>
        <v>4654.7</v>
      </c>
      <c r="CD439" s="4"/>
      <c r="CE439" s="4"/>
      <c r="CF439" t="s">
        <v>793</v>
      </c>
      <c r="CG439">
        <v>100</v>
      </c>
      <c r="CH439" t="s">
        <v>805</v>
      </c>
      <c r="CI439" s="28">
        <v>1.5</v>
      </c>
      <c r="CJ439" s="10" t="s">
        <v>1442</v>
      </c>
      <c r="CK439" t="s">
        <v>807</v>
      </c>
      <c r="CL439" s="4">
        <f>AVERAGE(1216,996)*10</f>
        <v>11060</v>
      </c>
      <c r="CM439" t="s">
        <v>847</v>
      </c>
      <c r="CN439" s="4">
        <f>(22.3+17)*10/2</f>
        <v>196.5</v>
      </c>
      <c r="CO439" s="4" t="s">
        <v>1</v>
      </c>
      <c r="CP439" s="4" t="s">
        <v>1</v>
      </c>
      <c r="CQ439" s="4" t="s">
        <v>1</v>
      </c>
      <c r="CR439" s="4" t="s">
        <v>1</v>
      </c>
      <c r="CS439" s="4" t="s">
        <v>1</v>
      </c>
      <c r="CT439" s="4" t="s">
        <v>1</v>
      </c>
      <c r="CU439" s="4" t="s">
        <v>1</v>
      </c>
      <c r="CV439" t="s">
        <v>855</v>
      </c>
      <c r="CW439">
        <v>100</v>
      </c>
      <c r="CX439">
        <v>0</v>
      </c>
      <c r="CY439">
        <v>30</v>
      </c>
      <c r="CZ439" s="26" t="s">
        <v>1358</v>
      </c>
      <c r="DA439" t="s">
        <v>734</v>
      </c>
      <c r="DB439">
        <v>54</v>
      </c>
      <c r="DC439">
        <v>0</v>
      </c>
      <c r="DD439">
        <v>30</v>
      </c>
      <c r="DE439" s="26" t="s">
        <v>1358</v>
      </c>
      <c r="DF439" t="s">
        <v>735</v>
      </c>
      <c r="DG439">
        <v>29</v>
      </c>
      <c r="DH439">
        <v>0</v>
      </c>
      <c r="DI439">
        <v>30</v>
      </c>
      <c r="DJ439" s="26" t="s">
        <v>1358</v>
      </c>
      <c r="DK439" t="s">
        <v>736</v>
      </c>
      <c r="DL439">
        <v>17</v>
      </c>
      <c r="DM439">
        <v>0</v>
      </c>
      <c r="DN439">
        <v>30</v>
      </c>
      <c r="DO439" s="26" t="s">
        <v>1358</v>
      </c>
      <c r="DP439" t="s">
        <v>6</v>
      </c>
      <c r="DQ439" t="s">
        <v>1</v>
      </c>
      <c r="DR439">
        <v>8</v>
      </c>
      <c r="DS439">
        <v>0</v>
      </c>
      <c r="DT439">
        <v>30</v>
      </c>
      <c r="DU439" s="26" t="s">
        <v>1358</v>
      </c>
      <c r="EA439" t="s">
        <v>1</v>
      </c>
      <c r="EB439" t="s">
        <v>1</v>
      </c>
      <c r="EC439" t="s">
        <v>1</v>
      </c>
      <c r="ED439" t="s">
        <v>1</v>
      </c>
      <c r="EE439" t="s">
        <v>1</v>
      </c>
      <c r="FZ439" t="s">
        <v>806</v>
      </c>
      <c r="GA439">
        <v>861.66666669999995</v>
      </c>
      <c r="GE439" s="26" t="s">
        <v>1358</v>
      </c>
      <c r="HA439" s="5" t="s">
        <v>1</v>
      </c>
      <c r="HB439" s="4" t="s">
        <v>1</v>
      </c>
      <c r="HC439" t="s">
        <v>1</v>
      </c>
      <c r="HD439" t="s">
        <v>1</v>
      </c>
      <c r="HE439" t="s">
        <v>1</v>
      </c>
      <c r="HF439" s="5" t="s">
        <v>1063</v>
      </c>
      <c r="HG439" s="4">
        <v>0.14482758620689654</v>
      </c>
      <c r="HH439">
        <v>0</v>
      </c>
      <c r="HI439">
        <v>30</v>
      </c>
      <c r="HJ439" s="26" t="s">
        <v>1358</v>
      </c>
      <c r="HK439" t="s">
        <v>815</v>
      </c>
      <c r="HL439" s="4">
        <v>1.45</v>
      </c>
      <c r="HM439">
        <v>0</v>
      </c>
      <c r="HN439">
        <v>30</v>
      </c>
      <c r="HO439" t="s">
        <v>1450</v>
      </c>
      <c r="HP439" s="26" t="s">
        <v>1358</v>
      </c>
      <c r="HZ439" t="s">
        <v>966</v>
      </c>
      <c r="IA439">
        <v>290</v>
      </c>
      <c r="IB439" s="5" t="s">
        <v>1</v>
      </c>
      <c r="IC439" s="5"/>
      <c r="ID439" s="5"/>
      <c r="IE439" s="10" t="s">
        <v>1</v>
      </c>
      <c r="IF439" s="10" t="s">
        <v>1</v>
      </c>
      <c r="IG439" s="10"/>
      <c r="IH439" s="10"/>
      <c r="II439" s="10"/>
      <c r="IJ439" s="10"/>
      <c r="IK439" s="10"/>
      <c r="IL439" s="10"/>
      <c r="IM439" s="10"/>
      <c r="IN439" s="10"/>
      <c r="IO439" s="10"/>
      <c r="IP439" s="10"/>
      <c r="IQ439" s="10"/>
      <c r="IR439" s="10"/>
      <c r="IS439" t="s">
        <v>1</v>
      </c>
      <c r="IT439" t="s">
        <v>1</v>
      </c>
      <c r="IW439" t="s">
        <v>1</v>
      </c>
      <c r="IX439" t="s">
        <v>1</v>
      </c>
      <c r="IY439" t="s">
        <v>1</v>
      </c>
      <c r="IZ439" t="s">
        <v>1</v>
      </c>
      <c r="JA439" t="s">
        <v>1</v>
      </c>
      <c r="JB439" s="3" t="s">
        <v>1</v>
      </c>
      <c r="JC439" t="s">
        <v>1</v>
      </c>
      <c r="JD439" s="4" t="s">
        <v>1</v>
      </c>
      <c r="JE439" t="s">
        <v>1</v>
      </c>
      <c r="JF439" t="s">
        <v>1</v>
      </c>
      <c r="JR439" t="s">
        <v>1066</v>
      </c>
      <c r="JS439">
        <v>190.3</v>
      </c>
      <c r="JU439" t="s">
        <v>1</v>
      </c>
      <c r="JW439" t="s">
        <v>1</v>
      </c>
      <c r="JX439">
        <v>0</v>
      </c>
      <c r="JY439">
        <v>110.00000000000001</v>
      </c>
      <c r="JZ439" t="s">
        <v>804</v>
      </c>
      <c r="KA439" t="s">
        <v>501</v>
      </c>
      <c r="KB439" t="s">
        <v>738</v>
      </c>
      <c r="KC439" t="s">
        <v>1</v>
      </c>
      <c r="KD439" t="s">
        <v>1</v>
      </c>
      <c r="KE439" t="s">
        <v>1</v>
      </c>
      <c r="KF439" t="s">
        <v>1</v>
      </c>
      <c r="KG439" t="s">
        <v>1</v>
      </c>
      <c r="KH439" t="s">
        <v>1</v>
      </c>
      <c r="KI439" t="s">
        <v>1</v>
      </c>
      <c r="KJ439" t="s">
        <v>1</v>
      </c>
      <c r="KK439" t="s">
        <v>1</v>
      </c>
    </row>
    <row r="440" spans="1:297" x14ac:dyDescent="0.2">
      <c r="A440">
        <v>408</v>
      </c>
      <c r="B440" t="s">
        <v>705</v>
      </c>
      <c r="C440" t="s">
        <v>503</v>
      </c>
      <c r="D440" t="s">
        <v>498</v>
      </c>
      <c r="E440">
        <v>72</v>
      </c>
      <c r="F440" t="s">
        <v>499</v>
      </c>
      <c r="G440" t="s">
        <v>1</v>
      </c>
      <c r="H440" s="26" t="s">
        <v>1420</v>
      </c>
      <c r="I440" t="s">
        <v>1</v>
      </c>
      <c r="J440" t="s">
        <v>1</v>
      </c>
      <c r="K440" t="s">
        <v>1</v>
      </c>
      <c r="L440" t="s">
        <v>1</v>
      </c>
      <c r="M440" t="s">
        <v>1</v>
      </c>
      <c r="N440" t="s">
        <v>1</v>
      </c>
      <c r="O440" t="s">
        <v>1</v>
      </c>
      <c r="P440" t="s">
        <v>1</v>
      </c>
      <c r="Q440" t="s">
        <v>1</v>
      </c>
      <c r="R440" t="s">
        <v>1</v>
      </c>
      <c r="S440" t="s">
        <v>1</v>
      </c>
      <c r="T440" t="s">
        <v>1</v>
      </c>
      <c r="U440" t="s">
        <v>1</v>
      </c>
      <c r="V440" t="s">
        <v>1</v>
      </c>
      <c r="W440" t="s">
        <v>1</v>
      </c>
      <c r="X440" t="s">
        <v>1</v>
      </c>
      <c r="Y440" t="s">
        <v>1</v>
      </c>
      <c r="Z440" t="s">
        <v>1</v>
      </c>
      <c r="AA440" t="s">
        <v>1</v>
      </c>
      <c r="AB440" t="s">
        <v>1</v>
      </c>
      <c r="AC440" t="s">
        <v>1</v>
      </c>
      <c r="AD440" t="s">
        <v>1</v>
      </c>
      <c r="AE440" t="s">
        <v>1</v>
      </c>
      <c r="AF440" t="s">
        <v>1</v>
      </c>
      <c r="AG440" t="s">
        <v>1</v>
      </c>
      <c r="AH440" t="s">
        <v>1</v>
      </c>
      <c r="AI440" t="s">
        <v>1</v>
      </c>
      <c r="AJ440" t="s">
        <v>1</v>
      </c>
      <c r="AK440" t="s">
        <v>1</v>
      </c>
      <c r="AL440" t="s">
        <v>1</v>
      </c>
      <c r="AM440" t="s">
        <v>1</v>
      </c>
      <c r="AN440">
        <v>408</v>
      </c>
      <c r="AO440">
        <f t="shared" si="54"/>
        <v>408</v>
      </c>
      <c r="AP440">
        <f t="shared" si="55"/>
        <v>72</v>
      </c>
      <c r="AQ440">
        <f t="shared" si="57"/>
        <v>72</v>
      </c>
      <c r="AR440" s="26" t="s">
        <v>1355</v>
      </c>
      <c r="AS440" s="26" t="s">
        <v>1356</v>
      </c>
      <c r="AT440" t="s">
        <v>715</v>
      </c>
      <c r="AU440" t="s">
        <v>1</v>
      </c>
      <c r="AV440" t="s">
        <v>1</v>
      </c>
      <c r="AW440">
        <v>47.43</v>
      </c>
      <c r="AX440">
        <v>8.67</v>
      </c>
      <c r="AY440" t="s">
        <v>737</v>
      </c>
      <c r="BA440" s="3">
        <v>3</v>
      </c>
      <c r="BB440" s="3"/>
      <c r="BC440" s="3"/>
      <c r="BD440" s="3"/>
      <c r="BE440" s="3"/>
      <c r="BF440">
        <v>2002</v>
      </c>
      <c r="BG440" s="24" t="s">
        <v>733</v>
      </c>
      <c r="BH440" s="24" t="s">
        <v>733</v>
      </c>
      <c r="BI440" s="24" t="s">
        <v>733</v>
      </c>
      <c r="BJ440" s="24" t="s">
        <v>732</v>
      </c>
      <c r="BK440" s="24" t="s">
        <v>733</v>
      </c>
      <c r="BL440" s="25" t="s">
        <v>733</v>
      </c>
      <c r="BM440" s="24" t="s">
        <v>733</v>
      </c>
      <c r="BN440" s="24" t="s">
        <v>732</v>
      </c>
      <c r="BO440" s="24" t="s">
        <v>733</v>
      </c>
      <c r="BP440" s="24" t="s">
        <v>733</v>
      </c>
      <c r="BQ440" s="24" t="s">
        <v>945</v>
      </c>
      <c r="BR440" s="24" t="s">
        <v>945</v>
      </c>
      <c r="BS440" s="25" t="s">
        <v>934</v>
      </c>
      <c r="BT440" s="24" t="s">
        <v>934</v>
      </c>
      <c r="BU440" s="24" t="s">
        <v>934</v>
      </c>
      <c r="BV440" s="24" t="s">
        <v>934</v>
      </c>
      <c r="BW440" s="24" t="s">
        <v>934</v>
      </c>
      <c r="BX440" s="24" t="s">
        <v>934</v>
      </c>
      <c r="BY440" s="25" t="s">
        <v>945</v>
      </c>
      <c r="BZ440" t="s">
        <v>1397</v>
      </c>
      <c r="CB440" t="s">
        <v>502</v>
      </c>
      <c r="CC440" s="4">
        <f>AVERAGE(622,464)*10*0.89</f>
        <v>4832.7</v>
      </c>
      <c r="CD440" s="4"/>
      <c r="CE440" s="4"/>
      <c r="CF440" t="s">
        <v>793</v>
      </c>
      <c r="CG440">
        <v>100</v>
      </c>
      <c r="CH440" t="s">
        <v>805</v>
      </c>
      <c r="CI440" s="28">
        <v>1.5</v>
      </c>
      <c r="CJ440" s="10" t="s">
        <v>1442</v>
      </c>
      <c r="CK440" t="s">
        <v>807</v>
      </c>
      <c r="CL440" s="4">
        <f>AVERAGE(1261,993)*10</f>
        <v>11270</v>
      </c>
      <c r="CM440" t="s">
        <v>847</v>
      </c>
      <c r="CN440" s="4">
        <f>(23.7+18+18.1)*10/2</f>
        <v>299</v>
      </c>
      <c r="CO440" s="4" t="s">
        <v>1</v>
      </c>
      <c r="CP440" s="4" t="s">
        <v>1</v>
      </c>
      <c r="CQ440" s="4" t="s">
        <v>1</v>
      </c>
      <c r="CR440" s="4" t="s">
        <v>1</v>
      </c>
      <c r="CS440" s="4" t="s">
        <v>1</v>
      </c>
      <c r="CT440" s="4" t="s">
        <v>1</v>
      </c>
      <c r="CU440" s="4" t="s">
        <v>1</v>
      </c>
      <c r="CV440" t="s">
        <v>855</v>
      </c>
      <c r="CW440">
        <v>100</v>
      </c>
      <c r="CX440">
        <v>0</v>
      </c>
      <c r="CY440">
        <v>30</v>
      </c>
      <c r="CZ440" s="26" t="s">
        <v>1358</v>
      </c>
      <c r="DA440" t="s">
        <v>734</v>
      </c>
      <c r="DB440">
        <v>54</v>
      </c>
      <c r="DC440">
        <v>0</v>
      </c>
      <c r="DD440">
        <v>30</v>
      </c>
      <c r="DE440" s="26" t="s">
        <v>1358</v>
      </c>
      <c r="DF440" t="s">
        <v>735</v>
      </c>
      <c r="DG440">
        <v>29</v>
      </c>
      <c r="DH440">
        <v>0</v>
      </c>
      <c r="DI440">
        <v>30</v>
      </c>
      <c r="DJ440" s="26" t="s">
        <v>1358</v>
      </c>
      <c r="DK440" t="s">
        <v>736</v>
      </c>
      <c r="DL440">
        <v>17</v>
      </c>
      <c r="DM440">
        <v>0</v>
      </c>
      <c r="DN440">
        <v>30</v>
      </c>
      <c r="DO440" s="26" t="s">
        <v>1358</v>
      </c>
      <c r="DP440" t="s">
        <v>6</v>
      </c>
      <c r="DQ440" t="s">
        <v>1</v>
      </c>
      <c r="DR440">
        <v>8</v>
      </c>
      <c r="DS440">
        <v>0</v>
      </c>
      <c r="DT440">
        <v>30</v>
      </c>
      <c r="DU440" s="26" t="s">
        <v>1358</v>
      </c>
      <c r="EA440" t="s">
        <v>1</v>
      </c>
      <c r="EB440" t="s">
        <v>1</v>
      </c>
      <c r="EC440" t="s">
        <v>1</v>
      </c>
      <c r="ED440" t="s">
        <v>1</v>
      </c>
      <c r="EE440" t="s">
        <v>1</v>
      </c>
      <c r="FZ440" t="s">
        <v>806</v>
      </c>
      <c r="GA440">
        <v>861.66666669999995</v>
      </c>
      <c r="GE440" s="26" t="s">
        <v>1358</v>
      </c>
      <c r="HA440" s="5" t="s">
        <v>1</v>
      </c>
      <c r="HB440" s="4" t="s">
        <v>1</v>
      </c>
      <c r="HC440" t="s">
        <v>1</v>
      </c>
      <c r="HD440" t="s">
        <v>1</v>
      </c>
      <c r="HE440" t="s">
        <v>1</v>
      </c>
      <c r="HF440" s="5" t="s">
        <v>1063</v>
      </c>
      <c r="HG440" s="4">
        <v>0.14482758620689654</v>
      </c>
      <c r="HH440">
        <v>0</v>
      </c>
      <c r="HI440">
        <v>30</v>
      </c>
      <c r="HJ440" s="26" t="s">
        <v>1358</v>
      </c>
      <c r="HK440" t="s">
        <v>815</v>
      </c>
      <c r="HL440" s="4">
        <v>1.45</v>
      </c>
      <c r="HM440">
        <v>0</v>
      </c>
      <c r="HN440">
        <v>30</v>
      </c>
      <c r="HO440" t="s">
        <v>1450</v>
      </c>
      <c r="HP440" s="26" t="s">
        <v>1358</v>
      </c>
      <c r="HZ440" t="s">
        <v>966</v>
      </c>
      <c r="IA440">
        <v>290</v>
      </c>
      <c r="IB440" s="5" t="s">
        <v>1</v>
      </c>
      <c r="IC440" s="5"/>
      <c r="ID440" s="5"/>
      <c r="IE440" s="10" t="s">
        <v>1</v>
      </c>
      <c r="IF440" s="10" t="s">
        <v>1</v>
      </c>
      <c r="IG440" s="10"/>
      <c r="IH440" s="10"/>
      <c r="II440" s="10"/>
      <c r="IJ440" s="10"/>
      <c r="IK440" s="10"/>
      <c r="IL440" s="10"/>
      <c r="IM440" s="10"/>
      <c r="IN440" s="10"/>
      <c r="IO440" s="10"/>
      <c r="IP440" s="10"/>
      <c r="IQ440" s="10"/>
      <c r="IR440" s="10"/>
      <c r="IS440" t="s">
        <v>1</v>
      </c>
      <c r="IT440" t="s">
        <v>1</v>
      </c>
      <c r="IW440" t="s">
        <v>1</v>
      </c>
      <c r="IX440" t="s">
        <v>1</v>
      </c>
      <c r="IY440" t="s">
        <v>1</v>
      </c>
      <c r="IZ440" t="s">
        <v>1</v>
      </c>
      <c r="JA440" t="s">
        <v>1</v>
      </c>
      <c r="JB440" s="3" t="s">
        <v>1</v>
      </c>
      <c r="JC440" t="s">
        <v>1</v>
      </c>
      <c r="JD440" s="4" t="s">
        <v>1</v>
      </c>
      <c r="JE440" t="s">
        <v>1</v>
      </c>
      <c r="JF440" t="s">
        <v>1</v>
      </c>
      <c r="JR440" t="s">
        <v>1066</v>
      </c>
      <c r="JS440">
        <v>141.69999999999999</v>
      </c>
      <c r="JU440" t="s">
        <v>1</v>
      </c>
      <c r="JW440" t="s">
        <v>1</v>
      </c>
      <c r="JX440">
        <v>0</v>
      </c>
      <c r="JY440">
        <v>110.00000000000001</v>
      </c>
      <c r="JZ440" t="s">
        <v>804</v>
      </c>
      <c r="KA440" t="s">
        <v>501</v>
      </c>
      <c r="KB440" t="s">
        <v>738</v>
      </c>
      <c r="KC440" t="s">
        <v>1</v>
      </c>
      <c r="KD440" t="s">
        <v>1</v>
      </c>
      <c r="KE440" t="s">
        <v>1</v>
      </c>
      <c r="KF440" t="s">
        <v>1</v>
      </c>
      <c r="KG440" t="s">
        <v>1</v>
      </c>
      <c r="KH440" t="s">
        <v>1</v>
      </c>
      <c r="KI440" t="s">
        <v>1</v>
      </c>
      <c r="KJ440" t="s">
        <v>1</v>
      </c>
      <c r="KK440" t="s">
        <v>1</v>
      </c>
    </row>
    <row r="441" spans="1:297" x14ac:dyDescent="0.2">
      <c r="A441">
        <v>409</v>
      </c>
      <c r="B441" t="s">
        <v>705</v>
      </c>
      <c r="C441" t="s">
        <v>503</v>
      </c>
      <c r="D441" t="s">
        <v>498</v>
      </c>
      <c r="E441">
        <v>72</v>
      </c>
      <c r="F441" t="s">
        <v>499</v>
      </c>
      <c r="G441" t="s">
        <v>1</v>
      </c>
      <c r="H441" s="26" t="s">
        <v>1420</v>
      </c>
      <c r="I441" t="s">
        <v>1</v>
      </c>
      <c r="J441" t="s">
        <v>1</v>
      </c>
      <c r="K441" t="s">
        <v>1</v>
      </c>
      <c r="L441" t="s">
        <v>1</v>
      </c>
      <c r="M441" t="s">
        <v>1</v>
      </c>
      <c r="N441" t="s">
        <v>1</v>
      </c>
      <c r="O441" t="s">
        <v>1</v>
      </c>
      <c r="P441" t="s">
        <v>1</v>
      </c>
      <c r="Q441" t="s">
        <v>1</v>
      </c>
      <c r="R441" t="s">
        <v>1</v>
      </c>
      <c r="S441" t="s">
        <v>1</v>
      </c>
      <c r="T441" t="s">
        <v>1</v>
      </c>
      <c r="U441" t="s">
        <v>1</v>
      </c>
      <c r="V441" t="s">
        <v>1</v>
      </c>
      <c r="W441" t="s">
        <v>1</v>
      </c>
      <c r="X441" t="s">
        <v>1</v>
      </c>
      <c r="Y441" t="s">
        <v>1</v>
      </c>
      <c r="Z441" t="s">
        <v>1</v>
      </c>
      <c r="AA441" t="s">
        <v>1</v>
      </c>
      <c r="AB441" t="s">
        <v>1</v>
      </c>
      <c r="AC441" t="s">
        <v>1</v>
      </c>
      <c r="AD441" t="s">
        <v>1</v>
      </c>
      <c r="AE441" t="s">
        <v>1</v>
      </c>
      <c r="AF441" t="s">
        <v>1</v>
      </c>
      <c r="AG441" t="s">
        <v>1</v>
      </c>
      <c r="AH441" t="s">
        <v>1</v>
      </c>
      <c r="AI441" t="s">
        <v>1</v>
      </c>
      <c r="AJ441" t="s">
        <v>1</v>
      </c>
      <c r="AK441" t="s">
        <v>1</v>
      </c>
      <c r="AL441" t="s">
        <v>1</v>
      </c>
      <c r="AM441" t="s">
        <v>1</v>
      </c>
      <c r="AN441">
        <v>409</v>
      </c>
      <c r="AO441">
        <f t="shared" si="54"/>
        <v>409</v>
      </c>
      <c r="AP441">
        <f t="shared" si="55"/>
        <v>72</v>
      </c>
      <c r="AQ441">
        <f t="shared" si="57"/>
        <v>72</v>
      </c>
      <c r="AR441" s="26" t="s">
        <v>1355</v>
      </c>
      <c r="AS441" s="26" t="s">
        <v>1356</v>
      </c>
      <c r="AT441" t="s">
        <v>715</v>
      </c>
      <c r="AU441" t="s">
        <v>1</v>
      </c>
      <c r="AV441" t="s">
        <v>1</v>
      </c>
      <c r="AW441">
        <v>47.43</v>
      </c>
      <c r="AX441">
        <v>8.67</v>
      </c>
      <c r="AY441" t="s">
        <v>737</v>
      </c>
      <c r="BA441" s="3">
        <v>3</v>
      </c>
      <c r="BB441" s="3"/>
      <c r="BC441" s="3"/>
      <c r="BD441" s="3"/>
      <c r="BE441" s="3"/>
      <c r="BF441">
        <v>2002</v>
      </c>
      <c r="BG441" s="24" t="s">
        <v>733</v>
      </c>
      <c r="BH441" s="24" t="s">
        <v>733</v>
      </c>
      <c r="BI441" s="24" t="s">
        <v>733</v>
      </c>
      <c r="BJ441" s="24" t="s">
        <v>732</v>
      </c>
      <c r="BK441" s="24" t="s">
        <v>733</v>
      </c>
      <c r="BL441" s="25" t="s">
        <v>733</v>
      </c>
      <c r="BM441" s="24" t="s">
        <v>733</v>
      </c>
      <c r="BN441" s="24" t="s">
        <v>732</v>
      </c>
      <c r="BO441" s="24" t="s">
        <v>733</v>
      </c>
      <c r="BP441" s="24" t="s">
        <v>733</v>
      </c>
      <c r="BQ441" s="24" t="s">
        <v>945</v>
      </c>
      <c r="BR441" s="24" t="s">
        <v>945</v>
      </c>
      <c r="BS441" s="25" t="s">
        <v>934</v>
      </c>
      <c r="BT441" s="24" t="s">
        <v>934</v>
      </c>
      <c r="BU441" s="24" t="s">
        <v>934</v>
      </c>
      <c r="BV441" s="24" t="s">
        <v>934</v>
      </c>
      <c r="BW441" s="24" t="s">
        <v>934</v>
      </c>
      <c r="BX441" s="24" t="s">
        <v>934</v>
      </c>
      <c r="BY441" s="25" t="s">
        <v>945</v>
      </c>
      <c r="BZ441" t="s">
        <v>1397</v>
      </c>
      <c r="CB441" t="s">
        <v>502</v>
      </c>
      <c r="CC441" s="4">
        <f>AVERAGE(647,506)*10*0.89</f>
        <v>5130.8500000000004</v>
      </c>
      <c r="CD441" s="4"/>
      <c r="CE441" s="4"/>
      <c r="CF441" t="s">
        <v>793</v>
      </c>
      <c r="CG441">
        <v>100</v>
      </c>
      <c r="CH441" t="s">
        <v>805</v>
      </c>
      <c r="CI441" s="28">
        <v>1.5</v>
      </c>
      <c r="CJ441" s="10" t="s">
        <v>1442</v>
      </c>
      <c r="CK441" t="s">
        <v>807</v>
      </c>
      <c r="CL441" s="4">
        <f>AVERAGE(1369,1117)*10</f>
        <v>12430</v>
      </c>
      <c r="CM441" t="s">
        <v>847</v>
      </c>
      <c r="CN441" s="4">
        <f>(23.9+19.6+31.3)*10/2</f>
        <v>374</v>
      </c>
      <c r="CO441" s="4" t="s">
        <v>1</v>
      </c>
      <c r="CP441" s="4" t="s">
        <v>1</v>
      </c>
      <c r="CQ441" s="4" t="s">
        <v>1</v>
      </c>
      <c r="CR441" s="4" t="s">
        <v>1</v>
      </c>
      <c r="CS441" s="4" t="s">
        <v>1</v>
      </c>
      <c r="CT441" s="4" t="s">
        <v>1</v>
      </c>
      <c r="CU441" s="4" t="s">
        <v>1</v>
      </c>
      <c r="CV441" t="s">
        <v>855</v>
      </c>
      <c r="CW441">
        <v>100</v>
      </c>
      <c r="CX441">
        <v>0</v>
      </c>
      <c r="CY441">
        <v>30</v>
      </c>
      <c r="CZ441" s="26" t="s">
        <v>1358</v>
      </c>
      <c r="DA441" t="s">
        <v>734</v>
      </c>
      <c r="DB441">
        <v>54</v>
      </c>
      <c r="DC441">
        <v>0</v>
      </c>
      <c r="DD441">
        <v>30</v>
      </c>
      <c r="DE441" s="26" t="s">
        <v>1358</v>
      </c>
      <c r="DF441" t="s">
        <v>735</v>
      </c>
      <c r="DG441">
        <v>29</v>
      </c>
      <c r="DH441">
        <v>0</v>
      </c>
      <c r="DI441">
        <v>30</v>
      </c>
      <c r="DJ441" s="26" t="s">
        <v>1358</v>
      </c>
      <c r="DK441" t="s">
        <v>736</v>
      </c>
      <c r="DL441">
        <v>17</v>
      </c>
      <c r="DM441">
        <v>0</v>
      </c>
      <c r="DN441">
        <v>30</v>
      </c>
      <c r="DO441" s="26" t="s">
        <v>1358</v>
      </c>
      <c r="DP441" t="s">
        <v>6</v>
      </c>
      <c r="DQ441" t="s">
        <v>1</v>
      </c>
      <c r="DR441">
        <v>8</v>
      </c>
      <c r="DS441">
        <v>0</v>
      </c>
      <c r="DT441">
        <v>30</v>
      </c>
      <c r="DU441" s="26" t="s">
        <v>1358</v>
      </c>
      <c r="EA441" t="s">
        <v>1</v>
      </c>
      <c r="EB441" t="s">
        <v>1</v>
      </c>
      <c r="EC441" t="s">
        <v>1</v>
      </c>
      <c r="ED441" t="s">
        <v>1</v>
      </c>
      <c r="EE441" t="s">
        <v>1</v>
      </c>
      <c r="FZ441" t="s">
        <v>806</v>
      </c>
      <c r="GA441">
        <v>861.66666669999995</v>
      </c>
      <c r="GE441" s="26" t="s">
        <v>1358</v>
      </c>
      <c r="HA441" s="5" t="s">
        <v>1</v>
      </c>
      <c r="HB441" s="4" t="s">
        <v>1</v>
      </c>
      <c r="HC441" t="s">
        <v>1</v>
      </c>
      <c r="HD441" t="s">
        <v>1</v>
      </c>
      <c r="HE441" t="s">
        <v>1</v>
      </c>
      <c r="HF441" s="5" t="s">
        <v>1063</v>
      </c>
      <c r="HG441" s="4">
        <v>0.14482758620689654</v>
      </c>
      <c r="HH441">
        <v>0</v>
      </c>
      <c r="HI441">
        <v>30</v>
      </c>
      <c r="HJ441" s="26" t="s">
        <v>1358</v>
      </c>
      <c r="HK441" t="s">
        <v>815</v>
      </c>
      <c r="HL441" s="4">
        <v>1.45</v>
      </c>
      <c r="HM441">
        <v>0</v>
      </c>
      <c r="HN441">
        <v>30</v>
      </c>
      <c r="HO441" t="s">
        <v>1450</v>
      </c>
      <c r="HP441" s="26" t="s">
        <v>1358</v>
      </c>
      <c r="HZ441" t="s">
        <v>966</v>
      </c>
      <c r="IA441">
        <v>290</v>
      </c>
      <c r="IB441" s="5" t="s">
        <v>1</v>
      </c>
      <c r="IC441" s="5"/>
      <c r="ID441" s="5"/>
      <c r="IE441" s="10" t="s">
        <v>1</v>
      </c>
      <c r="IF441" s="10" t="s">
        <v>1</v>
      </c>
      <c r="IG441" s="10"/>
      <c r="IH441" s="10"/>
      <c r="II441" s="10"/>
      <c r="IJ441" s="10"/>
      <c r="IK441" s="10"/>
      <c r="IL441" s="10"/>
      <c r="IM441" s="10"/>
      <c r="IN441" s="10"/>
      <c r="IO441" s="10"/>
      <c r="IP441" s="10"/>
      <c r="IQ441" s="10"/>
      <c r="IR441" s="10"/>
      <c r="IS441" t="s">
        <v>1</v>
      </c>
      <c r="IT441" t="s">
        <v>1</v>
      </c>
      <c r="IW441" t="s">
        <v>1</v>
      </c>
      <c r="IX441" t="s">
        <v>1</v>
      </c>
      <c r="IY441" t="s">
        <v>1</v>
      </c>
      <c r="IZ441" t="s">
        <v>1</v>
      </c>
      <c r="JA441" t="s">
        <v>1</v>
      </c>
      <c r="JB441" s="3" t="s">
        <v>1</v>
      </c>
      <c r="JC441" t="s">
        <v>1</v>
      </c>
      <c r="JD441" s="4" t="s">
        <v>1</v>
      </c>
      <c r="JE441" t="s">
        <v>1</v>
      </c>
      <c r="JF441" t="s">
        <v>1</v>
      </c>
      <c r="JR441" t="s">
        <v>1066</v>
      </c>
      <c r="JS441">
        <v>159.4</v>
      </c>
      <c r="JU441" t="s">
        <v>1</v>
      </c>
      <c r="JW441" t="s">
        <v>1</v>
      </c>
      <c r="JX441">
        <v>0</v>
      </c>
      <c r="JY441">
        <v>110.00000000000001</v>
      </c>
      <c r="JZ441" t="s">
        <v>804</v>
      </c>
      <c r="KA441" t="s">
        <v>501</v>
      </c>
      <c r="KB441" t="s">
        <v>738</v>
      </c>
      <c r="KC441" t="s">
        <v>1</v>
      </c>
      <c r="KD441" t="s">
        <v>1</v>
      </c>
      <c r="KE441" t="s">
        <v>1</v>
      </c>
      <c r="KF441" t="s">
        <v>1</v>
      </c>
      <c r="KG441" t="s">
        <v>1</v>
      </c>
      <c r="KH441" t="s">
        <v>1</v>
      </c>
      <c r="KI441" t="s">
        <v>1</v>
      </c>
      <c r="KJ441" t="s">
        <v>1</v>
      </c>
      <c r="KK441" t="s">
        <v>1</v>
      </c>
    </row>
    <row r="442" spans="1:297" x14ac:dyDescent="0.2">
      <c r="A442">
        <v>410</v>
      </c>
      <c r="B442" t="s">
        <v>705</v>
      </c>
      <c r="C442" t="s">
        <v>503</v>
      </c>
      <c r="D442" t="s">
        <v>498</v>
      </c>
      <c r="E442">
        <v>72</v>
      </c>
      <c r="F442" t="s">
        <v>499</v>
      </c>
      <c r="G442" t="s">
        <v>1</v>
      </c>
      <c r="H442" s="26" t="s">
        <v>1420</v>
      </c>
      <c r="I442" t="s">
        <v>1</v>
      </c>
      <c r="J442" t="s">
        <v>1</v>
      </c>
      <c r="K442" t="s">
        <v>1</v>
      </c>
      <c r="L442" t="s">
        <v>1</v>
      </c>
      <c r="M442" t="s">
        <v>1</v>
      </c>
      <c r="N442" t="s">
        <v>1</v>
      </c>
      <c r="O442" t="s">
        <v>1</v>
      </c>
      <c r="P442" t="s">
        <v>1</v>
      </c>
      <c r="Q442" t="s">
        <v>1</v>
      </c>
      <c r="R442" t="s">
        <v>1</v>
      </c>
      <c r="S442" t="s">
        <v>1</v>
      </c>
      <c r="T442" t="s">
        <v>1</v>
      </c>
      <c r="U442" t="s">
        <v>1</v>
      </c>
      <c r="V442" t="s">
        <v>1</v>
      </c>
      <c r="W442" t="s">
        <v>1</v>
      </c>
      <c r="X442" t="s">
        <v>1</v>
      </c>
      <c r="Y442" t="s">
        <v>1</v>
      </c>
      <c r="Z442" t="s">
        <v>1</v>
      </c>
      <c r="AA442" t="s">
        <v>1</v>
      </c>
      <c r="AB442" t="s">
        <v>1</v>
      </c>
      <c r="AC442" t="s">
        <v>1</v>
      </c>
      <c r="AD442" t="s">
        <v>1</v>
      </c>
      <c r="AE442" t="s">
        <v>1</v>
      </c>
      <c r="AF442" t="s">
        <v>1</v>
      </c>
      <c r="AG442" t="s">
        <v>1</v>
      </c>
      <c r="AH442" t="s">
        <v>1</v>
      </c>
      <c r="AI442" t="s">
        <v>1</v>
      </c>
      <c r="AJ442" t="s">
        <v>1</v>
      </c>
      <c r="AK442" t="s">
        <v>1</v>
      </c>
      <c r="AL442" t="s">
        <v>1</v>
      </c>
      <c r="AM442" t="s">
        <v>1</v>
      </c>
      <c r="AN442">
        <v>410</v>
      </c>
      <c r="AO442">
        <f t="shared" si="54"/>
        <v>410</v>
      </c>
      <c r="AP442">
        <f t="shared" si="55"/>
        <v>72</v>
      </c>
      <c r="AQ442">
        <f t="shared" si="57"/>
        <v>72</v>
      </c>
      <c r="AR442" s="26" t="s">
        <v>1355</v>
      </c>
      <c r="AS442" s="26" t="s">
        <v>1356</v>
      </c>
      <c r="AT442" t="s">
        <v>715</v>
      </c>
      <c r="AU442" t="s">
        <v>1</v>
      </c>
      <c r="AV442" t="s">
        <v>1</v>
      </c>
      <c r="AW442">
        <v>47.43</v>
      </c>
      <c r="AX442">
        <v>8.67</v>
      </c>
      <c r="AY442" t="s">
        <v>737</v>
      </c>
      <c r="BA442" s="3">
        <v>3</v>
      </c>
      <c r="BB442" s="3"/>
      <c r="BC442" s="3"/>
      <c r="BD442" s="3"/>
      <c r="BE442" s="3"/>
      <c r="BF442">
        <v>2002</v>
      </c>
      <c r="BG442" s="24" t="s">
        <v>733</v>
      </c>
      <c r="BH442" s="24" t="s">
        <v>733</v>
      </c>
      <c r="BI442" s="24" t="s">
        <v>733</v>
      </c>
      <c r="BJ442" s="24" t="s">
        <v>732</v>
      </c>
      <c r="BK442" s="24" t="s">
        <v>733</v>
      </c>
      <c r="BL442" s="25" t="s">
        <v>733</v>
      </c>
      <c r="BM442" s="24" t="s">
        <v>733</v>
      </c>
      <c r="BN442" s="24" t="s">
        <v>732</v>
      </c>
      <c r="BO442" s="24" t="s">
        <v>733</v>
      </c>
      <c r="BP442" s="24" t="s">
        <v>733</v>
      </c>
      <c r="BQ442" s="24" t="s">
        <v>945</v>
      </c>
      <c r="BR442" s="24" t="s">
        <v>945</v>
      </c>
      <c r="BS442" s="25" t="s">
        <v>934</v>
      </c>
      <c r="BT442" s="24" t="s">
        <v>934</v>
      </c>
      <c r="BU442" s="24" t="s">
        <v>934</v>
      </c>
      <c r="BV442" s="24" t="s">
        <v>934</v>
      </c>
      <c r="BW442" s="24" t="s">
        <v>934</v>
      </c>
      <c r="BX442" s="24" t="s">
        <v>934</v>
      </c>
      <c r="BY442" s="25" t="s">
        <v>945</v>
      </c>
      <c r="BZ442" t="s">
        <v>1397</v>
      </c>
      <c r="CB442" t="s">
        <v>502</v>
      </c>
      <c r="CC442" s="4">
        <f>AVERAGE(601,463)*10*0.89</f>
        <v>4734.8</v>
      </c>
      <c r="CD442" s="4"/>
      <c r="CE442" s="4"/>
      <c r="CF442" t="s">
        <v>793</v>
      </c>
      <c r="CG442">
        <v>100</v>
      </c>
      <c r="CH442" t="s">
        <v>805</v>
      </c>
      <c r="CI442" s="28">
        <v>1.5</v>
      </c>
      <c r="CJ442" s="10" t="s">
        <v>1442</v>
      </c>
      <c r="CK442" t="s">
        <v>807</v>
      </c>
      <c r="CL442" s="4">
        <f>AVERAGE(1214,991)*10</f>
        <v>11025</v>
      </c>
      <c r="CM442" t="s">
        <v>847</v>
      </c>
      <c r="CN442" s="4">
        <f>(22+18.2+22.6)*10/2</f>
        <v>314</v>
      </c>
      <c r="CO442" s="4" t="s">
        <v>1</v>
      </c>
      <c r="CP442" s="4" t="s">
        <v>1</v>
      </c>
      <c r="CQ442" s="4" t="s">
        <v>1</v>
      </c>
      <c r="CR442" s="4" t="s">
        <v>1</v>
      </c>
      <c r="CS442" s="4" t="s">
        <v>1</v>
      </c>
      <c r="CT442" s="4" t="s">
        <v>1</v>
      </c>
      <c r="CU442" s="4" t="s">
        <v>1</v>
      </c>
      <c r="CV442" t="s">
        <v>855</v>
      </c>
      <c r="CW442">
        <v>100</v>
      </c>
      <c r="CX442">
        <v>0</v>
      </c>
      <c r="CY442">
        <v>30</v>
      </c>
      <c r="CZ442" s="26" t="s">
        <v>1358</v>
      </c>
      <c r="DA442" t="s">
        <v>734</v>
      </c>
      <c r="DB442">
        <v>54</v>
      </c>
      <c r="DC442">
        <v>0</v>
      </c>
      <c r="DD442">
        <v>30</v>
      </c>
      <c r="DE442" s="26" t="s">
        <v>1358</v>
      </c>
      <c r="DF442" t="s">
        <v>735</v>
      </c>
      <c r="DG442">
        <v>29</v>
      </c>
      <c r="DH442">
        <v>0</v>
      </c>
      <c r="DI442">
        <v>30</v>
      </c>
      <c r="DJ442" s="26" t="s">
        <v>1358</v>
      </c>
      <c r="DK442" t="s">
        <v>736</v>
      </c>
      <c r="DL442">
        <v>17</v>
      </c>
      <c r="DM442">
        <v>0</v>
      </c>
      <c r="DN442">
        <v>30</v>
      </c>
      <c r="DO442" s="26" t="s">
        <v>1358</v>
      </c>
      <c r="DP442" t="s">
        <v>6</v>
      </c>
      <c r="DQ442" t="s">
        <v>1</v>
      </c>
      <c r="DR442">
        <v>8</v>
      </c>
      <c r="DS442">
        <v>0</v>
      </c>
      <c r="DT442">
        <v>30</v>
      </c>
      <c r="DU442" s="26" t="s">
        <v>1358</v>
      </c>
      <c r="EA442" t="s">
        <v>1</v>
      </c>
      <c r="EB442" t="s">
        <v>1</v>
      </c>
      <c r="EC442" t="s">
        <v>1</v>
      </c>
      <c r="ED442" t="s">
        <v>1</v>
      </c>
      <c r="EE442" t="s">
        <v>1</v>
      </c>
      <c r="FZ442" t="s">
        <v>806</v>
      </c>
      <c r="GA442">
        <v>861.66666669999995</v>
      </c>
      <c r="GE442" s="26" t="s">
        <v>1358</v>
      </c>
      <c r="HA442" s="5" t="s">
        <v>1</v>
      </c>
      <c r="HB442" s="4" t="s">
        <v>1</v>
      </c>
      <c r="HC442" t="s">
        <v>1</v>
      </c>
      <c r="HD442" t="s">
        <v>1</v>
      </c>
      <c r="HE442" t="s">
        <v>1</v>
      </c>
      <c r="HF442" s="5" t="s">
        <v>1063</v>
      </c>
      <c r="HG442" s="4">
        <v>0.14482758620689654</v>
      </c>
      <c r="HH442">
        <v>0</v>
      </c>
      <c r="HI442">
        <v>30</v>
      </c>
      <c r="HJ442" s="26" t="s">
        <v>1358</v>
      </c>
      <c r="HK442" t="s">
        <v>815</v>
      </c>
      <c r="HL442" s="4">
        <v>1.45</v>
      </c>
      <c r="HM442">
        <v>0</v>
      </c>
      <c r="HN442">
        <v>30</v>
      </c>
      <c r="HO442" t="s">
        <v>1450</v>
      </c>
      <c r="HP442" s="26" t="s">
        <v>1358</v>
      </c>
      <c r="HZ442" t="s">
        <v>966</v>
      </c>
      <c r="IA442">
        <v>290</v>
      </c>
      <c r="IB442" s="5" t="s">
        <v>1</v>
      </c>
      <c r="IC442" s="5"/>
      <c r="ID442" s="5"/>
      <c r="IE442" s="10" t="s">
        <v>1</v>
      </c>
      <c r="IF442" s="10" t="s">
        <v>1</v>
      </c>
      <c r="IG442" s="10"/>
      <c r="IH442" s="10"/>
      <c r="II442" s="10"/>
      <c r="IJ442" s="10"/>
      <c r="IK442" s="10"/>
      <c r="IL442" s="10"/>
      <c r="IM442" s="10"/>
      <c r="IN442" s="10"/>
      <c r="IO442" s="10"/>
      <c r="IP442" s="10"/>
      <c r="IQ442" s="10"/>
      <c r="IR442" s="10"/>
      <c r="IS442" t="s">
        <v>1</v>
      </c>
      <c r="IT442" t="s">
        <v>1</v>
      </c>
      <c r="IW442" t="s">
        <v>1</v>
      </c>
      <c r="IX442" t="s">
        <v>1</v>
      </c>
      <c r="IY442" t="s">
        <v>1</v>
      </c>
      <c r="IZ442" t="s">
        <v>1</v>
      </c>
      <c r="JA442" t="s">
        <v>1</v>
      </c>
      <c r="JB442" s="3" t="s">
        <v>1</v>
      </c>
      <c r="JC442" t="s">
        <v>1</v>
      </c>
      <c r="JD442" s="4" t="s">
        <v>1</v>
      </c>
      <c r="JE442" t="s">
        <v>1</v>
      </c>
      <c r="JF442" t="s">
        <v>1</v>
      </c>
      <c r="JR442" t="s">
        <v>1066</v>
      </c>
      <c r="JS442">
        <v>148.30000000000001</v>
      </c>
      <c r="JU442" t="s">
        <v>1</v>
      </c>
      <c r="JW442" t="s">
        <v>1</v>
      </c>
      <c r="JX442">
        <v>0</v>
      </c>
      <c r="JY442">
        <v>110.00000000000001</v>
      </c>
      <c r="JZ442" t="s">
        <v>804</v>
      </c>
      <c r="KA442" t="s">
        <v>501</v>
      </c>
      <c r="KB442" t="s">
        <v>738</v>
      </c>
      <c r="KC442" t="s">
        <v>1</v>
      </c>
      <c r="KD442" t="s">
        <v>1</v>
      </c>
      <c r="KE442" t="s">
        <v>1</v>
      </c>
      <c r="KF442" t="s">
        <v>1</v>
      </c>
      <c r="KG442" t="s">
        <v>1</v>
      </c>
      <c r="KH442" t="s">
        <v>1</v>
      </c>
      <c r="KI442" t="s">
        <v>1</v>
      </c>
      <c r="KJ442" t="s">
        <v>1</v>
      </c>
      <c r="KK442" t="s">
        <v>1</v>
      </c>
    </row>
    <row r="443" spans="1:297" x14ac:dyDescent="0.2">
      <c r="A443">
        <v>411</v>
      </c>
      <c r="B443" t="s">
        <v>705</v>
      </c>
      <c r="C443" t="s">
        <v>506</v>
      </c>
      <c r="D443" t="s">
        <v>504</v>
      </c>
      <c r="E443">
        <v>73</v>
      </c>
      <c r="F443" t="s">
        <v>505</v>
      </c>
      <c r="G443" t="s">
        <v>1</v>
      </c>
      <c r="H443" s="26" t="s">
        <v>1420</v>
      </c>
      <c r="I443" t="s">
        <v>1</v>
      </c>
      <c r="J443" t="s">
        <v>1</v>
      </c>
      <c r="K443" t="s">
        <v>1</v>
      </c>
      <c r="L443" t="s">
        <v>1</v>
      </c>
      <c r="M443" t="s">
        <v>1</v>
      </c>
      <c r="N443" t="s">
        <v>1</v>
      </c>
      <c r="O443" t="s">
        <v>1</v>
      </c>
      <c r="P443" t="s">
        <v>1</v>
      </c>
      <c r="Q443" t="s">
        <v>1</v>
      </c>
      <c r="R443" t="s">
        <v>1</v>
      </c>
      <c r="S443" t="s">
        <v>1</v>
      </c>
      <c r="T443" t="s">
        <v>1</v>
      </c>
      <c r="U443" t="s">
        <v>1</v>
      </c>
      <c r="V443" t="s">
        <v>1</v>
      </c>
      <c r="W443" t="s">
        <v>1</v>
      </c>
      <c r="X443" t="s">
        <v>1</v>
      </c>
      <c r="Y443" t="s">
        <v>1</v>
      </c>
      <c r="Z443" t="s">
        <v>1</v>
      </c>
      <c r="AA443" t="s">
        <v>1</v>
      </c>
      <c r="AB443" t="s">
        <v>1</v>
      </c>
      <c r="AC443" t="s">
        <v>1</v>
      </c>
      <c r="AD443" t="s">
        <v>1</v>
      </c>
      <c r="AE443" t="s">
        <v>1</v>
      </c>
      <c r="AF443" t="s">
        <v>1</v>
      </c>
      <c r="AG443" t="s">
        <v>1</v>
      </c>
      <c r="AH443" t="s">
        <v>1</v>
      </c>
      <c r="AI443" t="s">
        <v>1</v>
      </c>
      <c r="AJ443" t="s">
        <v>1</v>
      </c>
      <c r="AK443" t="s">
        <v>1</v>
      </c>
      <c r="AL443" t="s">
        <v>1</v>
      </c>
      <c r="AM443" t="s">
        <v>1</v>
      </c>
      <c r="AN443">
        <v>411</v>
      </c>
      <c r="AO443">
        <f t="shared" si="54"/>
        <v>411</v>
      </c>
      <c r="AP443">
        <f t="shared" si="55"/>
        <v>73</v>
      </c>
      <c r="AQ443">
        <f t="shared" si="57"/>
        <v>73</v>
      </c>
      <c r="AR443" s="26" t="s">
        <v>1355</v>
      </c>
      <c r="AS443" s="26" t="s">
        <v>1356</v>
      </c>
      <c r="AT443" t="s">
        <v>713</v>
      </c>
      <c r="AU443" t="s">
        <v>791</v>
      </c>
      <c r="AV443" t="s">
        <v>1</v>
      </c>
      <c r="AW443">
        <v>46.42</v>
      </c>
      <c r="AX443">
        <v>-94.75</v>
      </c>
      <c r="AY443" t="s">
        <v>737</v>
      </c>
      <c r="BA443" s="3">
        <v>4</v>
      </c>
      <c r="BB443" s="3"/>
      <c r="BC443" s="3"/>
      <c r="BD443" s="3"/>
      <c r="BE443" s="3"/>
      <c r="BF443">
        <v>1992</v>
      </c>
      <c r="BG443" s="24" t="s">
        <v>733</v>
      </c>
      <c r="BH443" s="24" t="s">
        <v>733</v>
      </c>
      <c r="BI443" s="24" t="s">
        <v>733</v>
      </c>
      <c r="BJ443" s="24" t="s">
        <v>732</v>
      </c>
      <c r="BK443" s="24" t="s">
        <v>733</v>
      </c>
      <c r="BL443" s="25" t="s">
        <v>733</v>
      </c>
      <c r="BM443" s="24" t="s">
        <v>733</v>
      </c>
      <c r="BN443" s="24" t="s">
        <v>732</v>
      </c>
      <c r="BO443" s="24" t="s">
        <v>733</v>
      </c>
      <c r="BP443" s="24" t="s">
        <v>733</v>
      </c>
      <c r="BQ443" s="24" t="s">
        <v>945</v>
      </c>
      <c r="BR443" s="24" t="s">
        <v>945</v>
      </c>
      <c r="BS443" s="25" t="s">
        <v>934</v>
      </c>
      <c r="BT443" s="24" t="s">
        <v>934</v>
      </c>
      <c r="BU443" s="24" t="s">
        <v>934</v>
      </c>
      <c r="BV443" s="24" t="s">
        <v>934</v>
      </c>
      <c r="BW443" s="24" t="s">
        <v>934</v>
      </c>
      <c r="BX443" s="24" t="s">
        <v>934</v>
      </c>
      <c r="BY443" s="25" t="s">
        <v>945</v>
      </c>
      <c r="BZ443" t="s">
        <v>5</v>
      </c>
      <c r="CB443" t="s">
        <v>1</v>
      </c>
      <c r="CC443" s="4">
        <f>AVERAGE(7.8,2.7)*1000</f>
        <v>5250</v>
      </c>
      <c r="CD443" s="4"/>
      <c r="CE443" s="4"/>
      <c r="CF443" t="s">
        <v>793</v>
      </c>
      <c r="CG443">
        <v>100</v>
      </c>
      <c r="CH443" t="s">
        <v>805</v>
      </c>
      <c r="CI443" s="28">
        <f t="shared" ref="CI443:CI453" si="58">AVERAGE(0.6,0.9)</f>
        <v>0.75</v>
      </c>
      <c r="CJ443" s="9" t="s">
        <v>1</v>
      </c>
      <c r="CK443" s="9" t="s">
        <v>1</v>
      </c>
      <c r="CL443" s="4" t="s">
        <v>1</v>
      </c>
      <c r="CM443" t="s">
        <v>847</v>
      </c>
      <c r="CN443" s="4">
        <f>AVERAGE(109,43)</f>
        <v>76</v>
      </c>
      <c r="CO443" s="4" t="s">
        <v>1</v>
      </c>
      <c r="CP443" s="4" t="s">
        <v>1</v>
      </c>
      <c r="CQ443" s="4" t="s">
        <v>1</v>
      </c>
      <c r="CR443" s="4" t="s">
        <v>1</v>
      </c>
      <c r="CS443" s="4" t="s">
        <v>1</v>
      </c>
      <c r="CT443" s="4" t="s">
        <v>1</v>
      </c>
      <c r="CU443" s="4" t="s">
        <v>1</v>
      </c>
      <c r="CV443" t="s">
        <v>855</v>
      </c>
      <c r="CW443">
        <v>100</v>
      </c>
      <c r="CX443">
        <v>0</v>
      </c>
      <c r="CY443">
        <v>26</v>
      </c>
      <c r="CZ443" s="26" t="s">
        <v>1358</v>
      </c>
      <c r="DA443" t="s">
        <v>734</v>
      </c>
      <c r="DB443">
        <v>79</v>
      </c>
      <c r="DC443">
        <v>0</v>
      </c>
      <c r="DD443">
        <v>26</v>
      </c>
      <c r="DE443" s="26" t="s">
        <v>1358</v>
      </c>
      <c r="DF443" t="s">
        <v>735</v>
      </c>
      <c r="DG443">
        <v>13</v>
      </c>
      <c r="DH443">
        <v>0</v>
      </c>
      <c r="DI443">
        <v>26</v>
      </c>
      <c r="DJ443" s="26" t="s">
        <v>1358</v>
      </c>
      <c r="DK443" t="s">
        <v>736</v>
      </c>
      <c r="DL443">
        <v>8</v>
      </c>
      <c r="DM443">
        <v>0</v>
      </c>
      <c r="DN443">
        <v>26</v>
      </c>
      <c r="DO443" s="26" t="s">
        <v>1358</v>
      </c>
      <c r="DP443" t="s">
        <v>6</v>
      </c>
      <c r="DQ443" t="s">
        <v>812</v>
      </c>
      <c r="DR443">
        <v>5.3</v>
      </c>
      <c r="DS443">
        <v>0</v>
      </c>
      <c r="DT443">
        <v>26</v>
      </c>
      <c r="DU443" s="26" t="s">
        <v>1358</v>
      </c>
      <c r="EA443" t="s">
        <v>982</v>
      </c>
      <c r="EB443">
        <v>12.4</v>
      </c>
      <c r="EC443">
        <v>0</v>
      </c>
      <c r="ED443">
        <v>26</v>
      </c>
      <c r="EE443" s="26" t="s">
        <v>1358</v>
      </c>
      <c r="EF443" s="26"/>
      <c r="FZ443" t="s">
        <v>806</v>
      </c>
      <c r="GA443">
        <v>392.35</v>
      </c>
      <c r="GE443" s="26" t="s">
        <v>1358</v>
      </c>
      <c r="HA443" s="5" t="s">
        <v>1</v>
      </c>
      <c r="HB443" s="4" t="s">
        <v>1</v>
      </c>
      <c r="HC443" t="s">
        <v>1</v>
      </c>
      <c r="HD443" t="s">
        <v>1</v>
      </c>
      <c r="HE443" t="s">
        <v>1</v>
      </c>
      <c r="HF443" s="5" t="s">
        <v>1</v>
      </c>
      <c r="HG443" s="4" t="s">
        <v>1</v>
      </c>
      <c r="HH443" t="s">
        <v>1</v>
      </c>
      <c r="HI443" t="s">
        <v>1</v>
      </c>
      <c r="HJ443" t="s">
        <v>1</v>
      </c>
      <c r="HK443" t="s">
        <v>815</v>
      </c>
      <c r="HL443" s="4">
        <v>1.55</v>
      </c>
      <c r="HM443">
        <v>0</v>
      </c>
      <c r="HN443">
        <v>26</v>
      </c>
      <c r="HO443" t="s">
        <v>1455</v>
      </c>
      <c r="HP443" s="26" t="s">
        <v>1358</v>
      </c>
      <c r="HZ443" t="s">
        <v>969</v>
      </c>
      <c r="IA443">
        <v>16</v>
      </c>
      <c r="IB443" s="10" t="s">
        <v>1</v>
      </c>
      <c r="IC443" s="10"/>
      <c r="ID443" s="10"/>
      <c r="IE443" s="10" t="s">
        <v>1</v>
      </c>
      <c r="IF443" s="10" t="s">
        <v>1</v>
      </c>
      <c r="IG443" s="10"/>
      <c r="IH443" s="10"/>
      <c r="II443" s="10"/>
      <c r="IJ443" s="10"/>
      <c r="IK443" s="10"/>
      <c r="IL443" s="10"/>
      <c r="IM443" s="10"/>
      <c r="IN443" s="10"/>
      <c r="IO443" s="10"/>
      <c r="IP443" s="10"/>
      <c r="IQ443" s="10"/>
      <c r="IR443" s="10"/>
      <c r="IS443" t="s">
        <v>1</v>
      </c>
      <c r="IT443" t="s">
        <v>1</v>
      </c>
      <c r="IW443" t="s">
        <v>1</v>
      </c>
      <c r="IX443" t="s">
        <v>1</v>
      </c>
      <c r="IY443" t="s">
        <v>808</v>
      </c>
      <c r="IZ443">
        <v>1605</v>
      </c>
      <c r="JA443" t="s">
        <v>1</v>
      </c>
      <c r="JB443" s="3" t="s">
        <v>1</v>
      </c>
      <c r="JC443" t="s">
        <v>965</v>
      </c>
      <c r="JD443" s="4">
        <f>AVERAGE(8,11)</f>
        <v>9.5</v>
      </c>
      <c r="JE443" t="s">
        <v>810</v>
      </c>
      <c r="JF443">
        <v>100</v>
      </c>
      <c r="JR443" t="s">
        <v>1066</v>
      </c>
      <c r="JS443">
        <v>97.4</v>
      </c>
      <c r="JU443" t="s">
        <v>1</v>
      </c>
      <c r="JW443" t="s">
        <v>1</v>
      </c>
      <c r="JX443">
        <v>0</v>
      </c>
      <c r="JY443">
        <v>75</v>
      </c>
      <c r="JZ443" t="s">
        <v>800</v>
      </c>
      <c r="KA443" t="s">
        <v>432</v>
      </c>
      <c r="KB443" t="s">
        <v>738</v>
      </c>
      <c r="KC443" t="s">
        <v>1</v>
      </c>
      <c r="KD443" t="s">
        <v>1</v>
      </c>
      <c r="KE443" t="s">
        <v>1</v>
      </c>
      <c r="KF443" t="s">
        <v>1</v>
      </c>
      <c r="KG443" t="s">
        <v>1</v>
      </c>
      <c r="KH443" t="s">
        <v>1</v>
      </c>
      <c r="KI443" t="s">
        <v>1</v>
      </c>
      <c r="KJ443" t="s">
        <v>1</v>
      </c>
      <c r="KK443" t="s">
        <v>1</v>
      </c>
    </row>
    <row r="444" spans="1:297" x14ac:dyDescent="0.2">
      <c r="A444">
        <v>412</v>
      </c>
      <c r="B444" t="s">
        <v>705</v>
      </c>
      <c r="C444" t="s">
        <v>507</v>
      </c>
      <c r="D444" t="s">
        <v>504</v>
      </c>
      <c r="E444">
        <v>73</v>
      </c>
      <c r="F444" t="s">
        <v>505</v>
      </c>
      <c r="G444" t="s">
        <v>1</v>
      </c>
      <c r="H444" s="26" t="s">
        <v>1420</v>
      </c>
      <c r="I444" t="s">
        <v>1</v>
      </c>
      <c r="J444" t="s">
        <v>1</v>
      </c>
      <c r="K444" t="s">
        <v>1</v>
      </c>
      <c r="L444" t="s">
        <v>1</v>
      </c>
      <c r="M444" t="s">
        <v>1</v>
      </c>
      <c r="N444" t="s">
        <v>1</v>
      </c>
      <c r="O444" t="s">
        <v>1</v>
      </c>
      <c r="P444" t="s">
        <v>1</v>
      </c>
      <c r="Q444" t="s">
        <v>1</v>
      </c>
      <c r="R444" t="s">
        <v>1</v>
      </c>
      <c r="S444" t="s">
        <v>1</v>
      </c>
      <c r="T444" t="s">
        <v>1</v>
      </c>
      <c r="U444" t="s">
        <v>1</v>
      </c>
      <c r="V444" t="s">
        <v>1</v>
      </c>
      <c r="W444" t="s">
        <v>1</v>
      </c>
      <c r="X444" t="s">
        <v>1</v>
      </c>
      <c r="Y444" t="s">
        <v>1</v>
      </c>
      <c r="Z444" t="s">
        <v>1</v>
      </c>
      <c r="AA444" t="s">
        <v>1</v>
      </c>
      <c r="AB444" t="s">
        <v>1</v>
      </c>
      <c r="AC444" t="s">
        <v>1</v>
      </c>
      <c r="AD444" t="s">
        <v>1</v>
      </c>
      <c r="AE444" t="s">
        <v>1</v>
      </c>
      <c r="AF444" t="s">
        <v>1</v>
      </c>
      <c r="AG444" t="s">
        <v>1</v>
      </c>
      <c r="AH444" t="s">
        <v>1</v>
      </c>
      <c r="AI444" t="s">
        <v>1</v>
      </c>
      <c r="AJ444" t="s">
        <v>1</v>
      </c>
      <c r="AK444" t="s">
        <v>1</v>
      </c>
      <c r="AL444" t="s">
        <v>1</v>
      </c>
      <c r="AM444" t="s">
        <v>1</v>
      </c>
      <c r="AN444">
        <v>412</v>
      </c>
      <c r="AO444">
        <f t="shared" ref="AO444:AO507" si="59">AN444</f>
        <v>412</v>
      </c>
      <c r="AP444">
        <f t="shared" si="55"/>
        <v>73</v>
      </c>
      <c r="AQ444">
        <f t="shared" si="57"/>
        <v>73</v>
      </c>
      <c r="AR444" s="26" t="s">
        <v>1355</v>
      </c>
      <c r="AS444" s="26" t="s">
        <v>1356</v>
      </c>
      <c r="AT444" t="s">
        <v>713</v>
      </c>
      <c r="AU444" t="s">
        <v>791</v>
      </c>
      <c r="AV444" t="s">
        <v>1</v>
      </c>
      <c r="AW444">
        <v>46.42</v>
      </c>
      <c r="AX444">
        <v>-94.75</v>
      </c>
      <c r="AY444" t="s">
        <v>737</v>
      </c>
      <c r="BA444" s="3">
        <v>4</v>
      </c>
      <c r="BB444" s="3"/>
      <c r="BC444" s="3"/>
      <c r="BD444" s="3"/>
      <c r="BE444" s="3"/>
      <c r="BF444">
        <v>1992</v>
      </c>
      <c r="BG444" s="24" t="s">
        <v>733</v>
      </c>
      <c r="BH444" s="24" t="s">
        <v>733</v>
      </c>
      <c r="BI444" s="24" t="s">
        <v>733</v>
      </c>
      <c r="BJ444" s="24" t="s">
        <v>732</v>
      </c>
      <c r="BK444" s="24" t="s">
        <v>733</v>
      </c>
      <c r="BL444" s="25" t="s">
        <v>733</v>
      </c>
      <c r="BM444" s="24" t="s">
        <v>733</v>
      </c>
      <c r="BN444" s="24" t="s">
        <v>732</v>
      </c>
      <c r="BO444" s="24" t="s">
        <v>733</v>
      </c>
      <c r="BP444" s="24" t="s">
        <v>733</v>
      </c>
      <c r="BQ444" s="24" t="s">
        <v>945</v>
      </c>
      <c r="BR444" s="24" t="s">
        <v>945</v>
      </c>
      <c r="BS444" s="25" t="s">
        <v>934</v>
      </c>
      <c r="BT444" s="24" t="s">
        <v>934</v>
      </c>
      <c r="BU444" s="24" t="s">
        <v>934</v>
      </c>
      <c r="BV444" s="24" t="s">
        <v>934</v>
      </c>
      <c r="BW444" s="24" t="s">
        <v>934</v>
      </c>
      <c r="BX444" s="24" t="s">
        <v>934</v>
      </c>
      <c r="BY444" s="25" t="s">
        <v>945</v>
      </c>
      <c r="BZ444" t="s">
        <v>5</v>
      </c>
      <c r="CB444" t="s">
        <v>1</v>
      </c>
      <c r="CC444" s="4">
        <f>AVERAGE(9.9,4.5)*1000</f>
        <v>7200</v>
      </c>
      <c r="CD444" s="4"/>
      <c r="CE444" s="4"/>
      <c r="CF444" t="s">
        <v>793</v>
      </c>
      <c r="CG444">
        <v>100</v>
      </c>
      <c r="CH444" t="s">
        <v>805</v>
      </c>
      <c r="CI444" s="28">
        <f t="shared" si="58"/>
        <v>0.75</v>
      </c>
      <c r="CJ444" s="9" t="s">
        <v>1</v>
      </c>
      <c r="CK444" s="9" t="s">
        <v>1</v>
      </c>
      <c r="CL444" s="4" t="s">
        <v>1</v>
      </c>
      <c r="CM444" t="s">
        <v>847</v>
      </c>
      <c r="CN444" s="4">
        <f>AVERAGE(174,90)</f>
        <v>132</v>
      </c>
      <c r="CO444" s="4" t="s">
        <v>1</v>
      </c>
      <c r="CP444" s="4" t="s">
        <v>1</v>
      </c>
      <c r="CQ444" s="4" t="s">
        <v>1</v>
      </c>
      <c r="CR444" s="4" t="s">
        <v>1</v>
      </c>
      <c r="CS444" s="4" t="s">
        <v>1</v>
      </c>
      <c r="CT444" s="4" t="s">
        <v>1</v>
      </c>
      <c r="CU444" s="4" t="s">
        <v>1</v>
      </c>
      <c r="CV444" t="s">
        <v>855</v>
      </c>
      <c r="CW444">
        <v>100</v>
      </c>
      <c r="CX444">
        <v>0</v>
      </c>
      <c r="CY444">
        <v>26</v>
      </c>
      <c r="CZ444" s="26" t="s">
        <v>1358</v>
      </c>
      <c r="DA444" t="s">
        <v>734</v>
      </c>
      <c r="DB444">
        <v>79</v>
      </c>
      <c r="DC444">
        <v>0</v>
      </c>
      <c r="DD444">
        <v>26</v>
      </c>
      <c r="DE444" s="26" t="s">
        <v>1358</v>
      </c>
      <c r="DF444" t="s">
        <v>735</v>
      </c>
      <c r="DG444">
        <v>13</v>
      </c>
      <c r="DH444">
        <v>0</v>
      </c>
      <c r="DI444">
        <v>26</v>
      </c>
      <c r="DJ444" s="26" t="s">
        <v>1358</v>
      </c>
      <c r="DK444" t="s">
        <v>736</v>
      </c>
      <c r="DL444">
        <v>8</v>
      </c>
      <c r="DM444">
        <v>0</v>
      </c>
      <c r="DN444">
        <v>26</v>
      </c>
      <c r="DO444" s="26" t="s">
        <v>1358</v>
      </c>
      <c r="DP444" t="s">
        <v>6</v>
      </c>
      <c r="DQ444" t="s">
        <v>812</v>
      </c>
      <c r="DR444">
        <v>5.3</v>
      </c>
      <c r="DS444">
        <v>0</v>
      </c>
      <c r="DT444">
        <v>26</v>
      </c>
      <c r="DU444" s="26" t="s">
        <v>1358</v>
      </c>
      <c r="EA444" t="s">
        <v>982</v>
      </c>
      <c r="EB444">
        <v>12.4</v>
      </c>
      <c r="EC444">
        <v>0</v>
      </c>
      <c r="ED444">
        <v>26</v>
      </c>
      <c r="EE444" s="26" t="s">
        <v>1358</v>
      </c>
      <c r="EF444" s="26"/>
      <c r="FZ444" t="s">
        <v>806</v>
      </c>
      <c r="GA444">
        <v>392.35</v>
      </c>
      <c r="GE444" s="26" t="s">
        <v>1358</v>
      </c>
      <c r="HA444" s="5" t="s">
        <v>1</v>
      </c>
      <c r="HB444" s="4" t="s">
        <v>1</v>
      </c>
      <c r="HC444" t="s">
        <v>1</v>
      </c>
      <c r="HD444" t="s">
        <v>1</v>
      </c>
      <c r="HE444" t="s">
        <v>1</v>
      </c>
      <c r="HF444" s="5" t="s">
        <v>1</v>
      </c>
      <c r="HG444" s="4" t="s">
        <v>1</v>
      </c>
      <c r="HH444" t="s">
        <v>1</v>
      </c>
      <c r="HI444" t="s">
        <v>1</v>
      </c>
      <c r="HJ444" t="s">
        <v>1</v>
      </c>
      <c r="HK444" t="s">
        <v>815</v>
      </c>
      <c r="HL444" s="4">
        <v>1.55</v>
      </c>
      <c r="HM444">
        <v>0</v>
      </c>
      <c r="HN444">
        <v>26</v>
      </c>
      <c r="HO444" t="s">
        <v>1455</v>
      </c>
      <c r="HP444" s="26" t="s">
        <v>1358</v>
      </c>
      <c r="HZ444" t="s">
        <v>1295</v>
      </c>
      <c r="IA444">
        <v>86</v>
      </c>
      <c r="IB444" s="10" t="s">
        <v>822</v>
      </c>
      <c r="IC444" s="10"/>
      <c r="ID444" s="10"/>
      <c r="IE444" s="10" t="s">
        <v>1</v>
      </c>
      <c r="IF444" s="10" t="s">
        <v>1</v>
      </c>
      <c r="IG444" s="10"/>
      <c r="IH444" s="10"/>
      <c r="II444" s="10"/>
      <c r="IJ444" s="10"/>
      <c r="IK444" s="10"/>
      <c r="IL444" s="10"/>
      <c r="IM444" s="10"/>
      <c r="IN444" s="10"/>
      <c r="IO444" s="10"/>
      <c r="IP444" s="10"/>
      <c r="IQ444" s="10"/>
      <c r="IR444" s="10"/>
      <c r="IS444" t="s">
        <v>1</v>
      </c>
      <c r="IT444" t="s">
        <v>1</v>
      </c>
      <c r="IW444" t="s">
        <v>1</v>
      </c>
      <c r="IX444" t="s">
        <v>1</v>
      </c>
      <c r="IY444" t="s">
        <v>808</v>
      </c>
      <c r="IZ444">
        <v>1605</v>
      </c>
      <c r="JA444" t="s">
        <v>1</v>
      </c>
      <c r="JB444" s="3" t="s">
        <v>1</v>
      </c>
      <c r="JC444" t="s">
        <v>965</v>
      </c>
      <c r="JD444" s="4">
        <f t="shared" ref="JD444:JD454" si="60">AVERAGE(8,11)</f>
        <v>9.5</v>
      </c>
      <c r="JE444" t="s">
        <v>810</v>
      </c>
      <c r="JF444">
        <v>100</v>
      </c>
      <c r="JR444" t="s">
        <v>1066</v>
      </c>
      <c r="JS444">
        <v>152.69999999999999</v>
      </c>
      <c r="JU444" t="s">
        <v>1</v>
      </c>
      <c r="JW444" t="s">
        <v>1</v>
      </c>
      <c r="JX444">
        <v>0</v>
      </c>
      <c r="JY444">
        <v>75</v>
      </c>
      <c r="JZ444" t="s">
        <v>800</v>
      </c>
      <c r="KA444" t="s">
        <v>432</v>
      </c>
      <c r="KB444" t="s">
        <v>738</v>
      </c>
      <c r="KC444" t="s">
        <v>1</v>
      </c>
      <c r="KD444" t="s">
        <v>1</v>
      </c>
      <c r="KE444" t="s">
        <v>1</v>
      </c>
      <c r="KF444" t="s">
        <v>1</v>
      </c>
      <c r="KG444" t="s">
        <v>1</v>
      </c>
      <c r="KH444" t="s">
        <v>1</v>
      </c>
      <c r="KI444" t="s">
        <v>1</v>
      </c>
      <c r="KJ444" t="s">
        <v>1</v>
      </c>
      <c r="KK444" t="s">
        <v>1</v>
      </c>
    </row>
    <row r="445" spans="1:297" x14ac:dyDescent="0.2">
      <c r="A445">
        <v>413</v>
      </c>
      <c r="B445" t="s">
        <v>705</v>
      </c>
      <c r="C445" t="s">
        <v>508</v>
      </c>
      <c r="D445" t="s">
        <v>504</v>
      </c>
      <c r="E445">
        <v>73</v>
      </c>
      <c r="F445" t="s">
        <v>505</v>
      </c>
      <c r="G445" t="s">
        <v>1</v>
      </c>
      <c r="H445" s="26" t="s">
        <v>1420</v>
      </c>
      <c r="I445" t="s">
        <v>1</v>
      </c>
      <c r="J445" t="s">
        <v>1</v>
      </c>
      <c r="K445" t="s">
        <v>1</v>
      </c>
      <c r="L445" t="s">
        <v>1</v>
      </c>
      <c r="M445" t="s">
        <v>1</v>
      </c>
      <c r="N445" t="s">
        <v>1</v>
      </c>
      <c r="O445" t="s">
        <v>1</v>
      </c>
      <c r="P445" t="s">
        <v>1</v>
      </c>
      <c r="Q445" t="s">
        <v>1</v>
      </c>
      <c r="R445" t="s">
        <v>1</v>
      </c>
      <c r="S445" t="s">
        <v>1</v>
      </c>
      <c r="T445" t="s">
        <v>1</v>
      </c>
      <c r="U445" t="s">
        <v>1</v>
      </c>
      <c r="V445" t="s">
        <v>1</v>
      </c>
      <c r="W445" t="s">
        <v>1</v>
      </c>
      <c r="X445" t="s">
        <v>1</v>
      </c>
      <c r="Y445" t="s">
        <v>1</v>
      </c>
      <c r="Z445" t="s">
        <v>1</v>
      </c>
      <c r="AA445" t="s">
        <v>1</v>
      </c>
      <c r="AB445" t="s">
        <v>1</v>
      </c>
      <c r="AC445" t="s">
        <v>1</v>
      </c>
      <c r="AD445" t="s">
        <v>1</v>
      </c>
      <c r="AE445" t="s">
        <v>1</v>
      </c>
      <c r="AF445" t="s">
        <v>1</v>
      </c>
      <c r="AG445" t="s">
        <v>1</v>
      </c>
      <c r="AH445" t="s">
        <v>1</v>
      </c>
      <c r="AI445" t="s">
        <v>1</v>
      </c>
      <c r="AJ445" t="s">
        <v>1</v>
      </c>
      <c r="AK445" t="s">
        <v>1</v>
      </c>
      <c r="AL445" t="s">
        <v>1</v>
      </c>
      <c r="AM445" t="s">
        <v>1</v>
      </c>
      <c r="AN445">
        <v>413</v>
      </c>
      <c r="AO445">
        <f t="shared" si="59"/>
        <v>413</v>
      </c>
      <c r="AP445">
        <f t="shared" si="55"/>
        <v>73</v>
      </c>
      <c r="AQ445">
        <f t="shared" si="57"/>
        <v>73</v>
      </c>
      <c r="AR445" s="26" t="s">
        <v>1355</v>
      </c>
      <c r="AS445" s="26" t="s">
        <v>1356</v>
      </c>
      <c r="AT445" t="s">
        <v>713</v>
      </c>
      <c r="AU445" t="s">
        <v>791</v>
      </c>
      <c r="AV445" t="s">
        <v>1</v>
      </c>
      <c r="AW445">
        <v>46.42</v>
      </c>
      <c r="AX445">
        <v>-94.75</v>
      </c>
      <c r="AY445" t="s">
        <v>737</v>
      </c>
      <c r="BA445" s="3">
        <v>4</v>
      </c>
      <c r="BB445" s="3"/>
      <c r="BC445" s="3"/>
      <c r="BD445" s="3"/>
      <c r="BE445" s="3"/>
      <c r="BF445">
        <v>1992</v>
      </c>
      <c r="BG445" s="24" t="s">
        <v>733</v>
      </c>
      <c r="BH445" s="24" t="s">
        <v>733</v>
      </c>
      <c r="BI445" s="24" t="s">
        <v>733</v>
      </c>
      <c r="BJ445" s="24" t="s">
        <v>732</v>
      </c>
      <c r="BK445" s="24" t="s">
        <v>733</v>
      </c>
      <c r="BL445" s="25" t="s">
        <v>733</v>
      </c>
      <c r="BM445" s="24" t="s">
        <v>733</v>
      </c>
      <c r="BN445" s="24" t="s">
        <v>732</v>
      </c>
      <c r="BO445" s="24" t="s">
        <v>733</v>
      </c>
      <c r="BP445" s="24" t="s">
        <v>733</v>
      </c>
      <c r="BQ445" s="24" t="s">
        <v>945</v>
      </c>
      <c r="BR445" s="24" t="s">
        <v>945</v>
      </c>
      <c r="BS445" s="25" t="s">
        <v>934</v>
      </c>
      <c r="BT445" s="24" t="s">
        <v>934</v>
      </c>
      <c r="BU445" s="24" t="s">
        <v>934</v>
      </c>
      <c r="BV445" s="24" t="s">
        <v>934</v>
      </c>
      <c r="BW445" s="24" t="s">
        <v>934</v>
      </c>
      <c r="BX445" s="24" t="s">
        <v>934</v>
      </c>
      <c r="BY445" s="25" t="s">
        <v>945</v>
      </c>
      <c r="BZ445" t="s">
        <v>5</v>
      </c>
      <c r="CB445" t="s">
        <v>1</v>
      </c>
      <c r="CC445" s="4">
        <f>AVERAGE(10.2,5.7)*1000</f>
        <v>7949.9999999999991</v>
      </c>
      <c r="CD445" s="4"/>
      <c r="CE445" s="4"/>
      <c r="CF445" t="s">
        <v>793</v>
      </c>
      <c r="CG445">
        <v>100</v>
      </c>
      <c r="CH445" t="s">
        <v>805</v>
      </c>
      <c r="CI445" s="28">
        <f t="shared" si="58"/>
        <v>0.75</v>
      </c>
      <c r="CJ445" s="9" t="s">
        <v>1</v>
      </c>
      <c r="CK445" s="9" t="s">
        <v>1</v>
      </c>
      <c r="CL445" s="4" t="s">
        <v>1</v>
      </c>
      <c r="CM445" t="s">
        <v>847</v>
      </c>
      <c r="CN445" s="4">
        <f>AVERAGE(214,116)</f>
        <v>165</v>
      </c>
      <c r="CO445" s="4" t="s">
        <v>1</v>
      </c>
      <c r="CP445" s="4" t="s">
        <v>1</v>
      </c>
      <c r="CQ445" s="4" t="s">
        <v>1</v>
      </c>
      <c r="CR445" s="4" t="s">
        <v>1</v>
      </c>
      <c r="CS445" s="4" t="s">
        <v>1</v>
      </c>
      <c r="CT445" s="4" t="s">
        <v>1</v>
      </c>
      <c r="CU445" s="4" t="s">
        <v>1</v>
      </c>
      <c r="CV445" t="s">
        <v>855</v>
      </c>
      <c r="CW445">
        <v>100</v>
      </c>
      <c r="CX445">
        <v>0</v>
      </c>
      <c r="CY445">
        <v>26</v>
      </c>
      <c r="CZ445" s="26" t="s">
        <v>1358</v>
      </c>
      <c r="DA445" t="s">
        <v>734</v>
      </c>
      <c r="DB445">
        <v>79</v>
      </c>
      <c r="DC445">
        <v>0</v>
      </c>
      <c r="DD445">
        <v>26</v>
      </c>
      <c r="DE445" s="26" t="s">
        <v>1358</v>
      </c>
      <c r="DF445" t="s">
        <v>735</v>
      </c>
      <c r="DG445">
        <v>13</v>
      </c>
      <c r="DH445">
        <v>0</v>
      </c>
      <c r="DI445">
        <v>26</v>
      </c>
      <c r="DJ445" s="26" t="s">
        <v>1358</v>
      </c>
      <c r="DK445" t="s">
        <v>736</v>
      </c>
      <c r="DL445">
        <v>8</v>
      </c>
      <c r="DM445">
        <v>0</v>
      </c>
      <c r="DN445">
        <v>26</v>
      </c>
      <c r="DO445" s="26" t="s">
        <v>1358</v>
      </c>
      <c r="DP445" t="s">
        <v>6</v>
      </c>
      <c r="DQ445" t="s">
        <v>812</v>
      </c>
      <c r="DR445">
        <v>5.3</v>
      </c>
      <c r="DS445">
        <v>0</v>
      </c>
      <c r="DT445">
        <v>26</v>
      </c>
      <c r="DU445" s="26" t="s">
        <v>1358</v>
      </c>
      <c r="EA445" t="s">
        <v>982</v>
      </c>
      <c r="EB445">
        <v>12.4</v>
      </c>
      <c r="EC445">
        <v>0</v>
      </c>
      <c r="ED445">
        <v>26</v>
      </c>
      <c r="EE445" s="26" t="s">
        <v>1358</v>
      </c>
      <c r="EF445" s="26"/>
      <c r="FZ445" t="s">
        <v>806</v>
      </c>
      <c r="GA445">
        <v>392.35</v>
      </c>
      <c r="GE445" s="26" t="s">
        <v>1358</v>
      </c>
      <c r="HA445" s="5" t="s">
        <v>1</v>
      </c>
      <c r="HB445" s="4" t="s">
        <v>1</v>
      </c>
      <c r="HC445" t="s">
        <v>1</v>
      </c>
      <c r="HD445" t="s">
        <v>1</v>
      </c>
      <c r="HE445" t="s">
        <v>1</v>
      </c>
      <c r="HF445" s="5" t="s">
        <v>1</v>
      </c>
      <c r="HG445" s="4" t="s">
        <v>1</v>
      </c>
      <c r="HH445" t="s">
        <v>1</v>
      </c>
      <c r="HI445" t="s">
        <v>1</v>
      </c>
      <c r="HJ445" t="s">
        <v>1</v>
      </c>
      <c r="HK445" t="s">
        <v>815</v>
      </c>
      <c r="HL445" s="4">
        <v>1.55</v>
      </c>
      <c r="HM445">
        <v>0</v>
      </c>
      <c r="HN445">
        <v>26</v>
      </c>
      <c r="HO445" t="s">
        <v>1455</v>
      </c>
      <c r="HP445" s="26" t="s">
        <v>1358</v>
      </c>
      <c r="HZ445" t="s">
        <v>1295</v>
      </c>
      <c r="IA445">
        <v>176</v>
      </c>
      <c r="IB445" s="10" t="s">
        <v>822</v>
      </c>
      <c r="IC445" s="10"/>
      <c r="ID445" s="10"/>
      <c r="IE445" s="10" t="s">
        <v>1</v>
      </c>
      <c r="IF445" s="10" t="s">
        <v>1</v>
      </c>
      <c r="IG445" s="10"/>
      <c r="IH445" s="10"/>
      <c r="II445" s="10"/>
      <c r="IJ445" s="10"/>
      <c r="IK445" s="10"/>
      <c r="IL445" s="10"/>
      <c r="IM445" s="10"/>
      <c r="IN445" s="10"/>
      <c r="IO445" s="10"/>
      <c r="IP445" s="10"/>
      <c r="IQ445" s="10"/>
      <c r="IR445" s="10"/>
      <c r="IS445" t="s">
        <v>1</v>
      </c>
      <c r="IT445" t="s">
        <v>1</v>
      </c>
      <c r="IW445" t="s">
        <v>1</v>
      </c>
      <c r="IX445" t="s">
        <v>1</v>
      </c>
      <c r="IY445" t="s">
        <v>808</v>
      </c>
      <c r="IZ445">
        <v>1605</v>
      </c>
      <c r="JA445" t="s">
        <v>1</v>
      </c>
      <c r="JB445" s="3" t="s">
        <v>1</v>
      </c>
      <c r="JC445" t="s">
        <v>965</v>
      </c>
      <c r="JD445" s="4">
        <f t="shared" si="60"/>
        <v>9.5</v>
      </c>
      <c r="JE445" t="s">
        <v>810</v>
      </c>
      <c r="JF445">
        <v>100</v>
      </c>
      <c r="JR445" t="s">
        <v>1066</v>
      </c>
      <c r="JS445">
        <v>336.4</v>
      </c>
      <c r="JU445" t="s">
        <v>1</v>
      </c>
      <c r="JW445" t="s">
        <v>1</v>
      </c>
      <c r="JX445">
        <v>0</v>
      </c>
      <c r="JY445">
        <v>75</v>
      </c>
      <c r="JZ445" t="s">
        <v>800</v>
      </c>
      <c r="KA445" t="s">
        <v>432</v>
      </c>
      <c r="KB445" t="s">
        <v>738</v>
      </c>
      <c r="KC445" t="s">
        <v>1</v>
      </c>
      <c r="KD445" t="s">
        <v>1</v>
      </c>
      <c r="KE445" t="s">
        <v>1</v>
      </c>
      <c r="KF445" t="s">
        <v>1</v>
      </c>
      <c r="KG445" t="s">
        <v>1</v>
      </c>
      <c r="KH445" t="s">
        <v>1</v>
      </c>
      <c r="KI445" t="s">
        <v>1</v>
      </c>
      <c r="KJ445" t="s">
        <v>1</v>
      </c>
      <c r="KK445" t="s">
        <v>1</v>
      </c>
    </row>
    <row r="446" spans="1:297" x14ac:dyDescent="0.2">
      <c r="A446">
        <v>414</v>
      </c>
      <c r="B446" t="s">
        <v>705</v>
      </c>
      <c r="C446" t="s">
        <v>509</v>
      </c>
      <c r="D446" t="s">
        <v>504</v>
      </c>
      <c r="E446">
        <v>73</v>
      </c>
      <c r="F446" t="s">
        <v>505</v>
      </c>
      <c r="G446" t="s">
        <v>1</v>
      </c>
      <c r="H446" s="26" t="s">
        <v>1420</v>
      </c>
      <c r="I446" t="s">
        <v>1</v>
      </c>
      <c r="J446" t="s">
        <v>1</v>
      </c>
      <c r="K446" t="s">
        <v>1</v>
      </c>
      <c r="L446" t="s">
        <v>1</v>
      </c>
      <c r="M446" t="s">
        <v>1</v>
      </c>
      <c r="N446" t="s">
        <v>1</v>
      </c>
      <c r="O446" t="s">
        <v>1</v>
      </c>
      <c r="P446" t="s">
        <v>1</v>
      </c>
      <c r="Q446" t="s">
        <v>1</v>
      </c>
      <c r="R446" t="s">
        <v>1</v>
      </c>
      <c r="S446" t="s">
        <v>1</v>
      </c>
      <c r="T446" t="s">
        <v>1</v>
      </c>
      <c r="U446" t="s">
        <v>1</v>
      </c>
      <c r="V446" t="s">
        <v>1</v>
      </c>
      <c r="W446" t="s">
        <v>1</v>
      </c>
      <c r="X446" t="s">
        <v>1</v>
      </c>
      <c r="Y446" t="s">
        <v>1</v>
      </c>
      <c r="Z446" t="s">
        <v>1</v>
      </c>
      <c r="AA446" t="s">
        <v>1</v>
      </c>
      <c r="AB446" t="s">
        <v>1</v>
      </c>
      <c r="AC446" t="s">
        <v>1</v>
      </c>
      <c r="AD446" t="s">
        <v>1</v>
      </c>
      <c r="AE446" t="s">
        <v>1</v>
      </c>
      <c r="AF446" t="s">
        <v>1</v>
      </c>
      <c r="AG446" t="s">
        <v>1</v>
      </c>
      <c r="AH446" t="s">
        <v>1</v>
      </c>
      <c r="AI446" t="s">
        <v>1</v>
      </c>
      <c r="AJ446" t="s">
        <v>1</v>
      </c>
      <c r="AK446" t="s">
        <v>1</v>
      </c>
      <c r="AL446" t="s">
        <v>1</v>
      </c>
      <c r="AM446" t="s">
        <v>1</v>
      </c>
      <c r="AN446">
        <v>414</v>
      </c>
      <c r="AO446">
        <f t="shared" si="59"/>
        <v>414</v>
      </c>
      <c r="AP446">
        <f t="shared" si="55"/>
        <v>73</v>
      </c>
      <c r="AQ446">
        <f t="shared" si="57"/>
        <v>73</v>
      </c>
      <c r="AR446" s="26" t="s">
        <v>1355</v>
      </c>
      <c r="AS446" s="26" t="s">
        <v>1356</v>
      </c>
      <c r="AT446" t="s">
        <v>713</v>
      </c>
      <c r="AU446" t="s">
        <v>791</v>
      </c>
      <c r="AV446" t="s">
        <v>1</v>
      </c>
      <c r="AW446">
        <v>46.42</v>
      </c>
      <c r="AX446">
        <v>-94.75</v>
      </c>
      <c r="AY446" t="s">
        <v>737</v>
      </c>
      <c r="BA446" s="3">
        <v>4</v>
      </c>
      <c r="BB446" s="3"/>
      <c r="BC446" s="3"/>
      <c r="BD446" s="3"/>
      <c r="BE446" s="3"/>
      <c r="BF446">
        <v>1992</v>
      </c>
      <c r="BG446" s="24" t="s">
        <v>733</v>
      </c>
      <c r="BH446" s="24" t="s">
        <v>733</v>
      </c>
      <c r="BI446" s="24" t="s">
        <v>733</v>
      </c>
      <c r="BJ446" s="24" t="s">
        <v>732</v>
      </c>
      <c r="BK446" s="24" t="s">
        <v>733</v>
      </c>
      <c r="BL446" s="25" t="s">
        <v>733</v>
      </c>
      <c r="BM446" s="24" t="s">
        <v>733</v>
      </c>
      <c r="BN446" s="24" t="s">
        <v>732</v>
      </c>
      <c r="BO446" s="24" t="s">
        <v>733</v>
      </c>
      <c r="BP446" s="24" t="s">
        <v>733</v>
      </c>
      <c r="BQ446" s="24" t="s">
        <v>945</v>
      </c>
      <c r="BR446" s="24" t="s">
        <v>945</v>
      </c>
      <c r="BS446" s="25" t="s">
        <v>934</v>
      </c>
      <c r="BT446" s="24" t="s">
        <v>934</v>
      </c>
      <c r="BU446" s="24" t="s">
        <v>934</v>
      </c>
      <c r="BV446" s="24" t="s">
        <v>934</v>
      </c>
      <c r="BW446" s="24" t="s">
        <v>934</v>
      </c>
      <c r="BX446" s="24" t="s">
        <v>934</v>
      </c>
      <c r="BY446" s="25" t="s">
        <v>945</v>
      </c>
      <c r="BZ446" t="s">
        <v>5</v>
      </c>
      <c r="CB446" t="s">
        <v>1</v>
      </c>
      <c r="CC446" s="4">
        <f>AVERAGE(10.2,6)*1000</f>
        <v>8100</v>
      </c>
      <c r="CD446" s="4"/>
      <c r="CE446" s="4"/>
      <c r="CF446" t="s">
        <v>793</v>
      </c>
      <c r="CG446">
        <v>100</v>
      </c>
      <c r="CH446" t="s">
        <v>805</v>
      </c>
      <c r="CI446" s="28">
        <f t="shared" si="58"/>
        <v>0.75</v>
      </c>
      <c r="CJ446" s="9" t="s">
        <v>1</v>
      </c>
      <c r="CK446" s="9" t="s">
        <v>1</v>
      </c>
      <c r="CL446" s="4" t="s">
        <v>1</v>
      </c>
      <c r="CM446" t="s">
        <v>847</v>
      </c>
      <c r="CN446" s="4">
        <f>AVERAGE(220,124)</f>
        <v>172</v>
      </c>
      <c r="CO446" s="4" t="s">
        <v>1</v>
      </c>
      <c r="CP446" s="4" t="s">
        <v>1</v>
      </c>
      <c r="CQ446" s="4" t="s">
        <v>1</v>
      </c>
      <c r="CR446" s="4" t="s">
        <v>1</v>
      </c>
      <c r="CS446" s="4" t="s">
        <v>1</v>
      </c>
      <c r="CT446" s="4" t="s">
        <v>1</v>
      </c>
      <c r="CU446" s="4" t="s">
        <v>1</v>
      </c>
      <c r="CV446" t="s">
        <v>855</v>
      </c>
      <c r="CW446">
        <v>100</v>
      </c>
      <c r="CX446">
        <v>0</v>
      </c>
      <c r="CY446">
        <v>26</v>
      </c>
      <c r="CZ446" s="26" t="s">
        <v>1358</v>
      </c>
      <c r="DA446" t="s">
        <v>734</v>
      </c>
      <c r="DB446">
        <v>79</v>
      </c>
      <c r="DC446">
        <v>0</v>
      </c>
      <c r="DD446">
        <v>26</v>
      </c>
      <c r="DE446" s="26" t="s">
        <v>1358</v>
      </c>
      <c r="DF446" t="s">
        <v>735</v>
      </c>
      <c r="DG446">
        <v>13</v>
      </c>
      <c r="DH446">
        <v>0</v>
      </c>
      <c r="DI446">
        <v>26</v>
      </c>
      <c r="DJ446" s="26" t="s">
        <v>1358</v>
      </c>
      <c r="DK446" t="s">
        <v>736</v>
      </c>
      <c r="DL446">
        <v>8</v>
      </c>
      <c r="DM446">
        <v>0</v>
      </c>
      <c r="DN446">
        <v>26</v>
      </c>
      <c r="DO446" s="26" t="s">
        <v>1358</v>
      </c>
      <c r="DP446" t="s">
        <v>6</v>
      </c>
      <c r="DQ446" t="s">
        <v>812</v>
      </c>
      <c r="DR446">
        <v>5.3</v>
      </c>
      <c r="DS446">
        <v>0</v>
      </c>
      <c r="DT446">
        <v>26</v>
      </c>
      <c r="DU446" s="26" t="s">
        <v>1358</v>
      </c>
      <c r="EA446" t="s">
        <v>982</v>
      </c>
      <c r="EB446">
        <v>12.4</v>
      </c>
      <c r="EC446">
        <v>0</v>
      </c>
      <c r="ED446">
        <v>26</v>
      </c>
      <c r="EE446" s="26" t="s">
        <v>1358</v>
      </c>
      <c r="EF446" s="26"/>
      <c r="FZ446" t="s">
        <v>806</v>
      </c>
      <c r="GA446">
        <v>392.35</v>
      </c>
      <c r="GE446" s="26" t="s">
        <v>1358</v>
      </c>
      <c r="HA446" s="5" t="s">
        <v>1</v>
      </c>
      <c r="HB446" s="4" t="s">
        <v>1</v>
      </c>
      <c r="HC446" t="s">
        <v>1</v>
      </c>
      <c r="HD446" t="s">
        <v>1</v>
      </c>
      <c r="HE446" t="s">
        <v>1</v>
      </c>
      <c r="HF446" s="5" t="s">
        <v>1</v>
      </c>
      <c r="HG446" s="4" t="s">
        <v>1</v>
      </c>
      <c r="HH446" t="s">
        <v>1</v>
      </c>
      <c r="HI446" t="s">
        <v>1</v>
      </c>
      <c r="HJ446" t="s">
        <v>1</v>
      </c>
      <c r="HK446" t="s">
        <v>815</v>
      </c>
      <c r="HL446" s="4">
        <v>1.55</v>
      </c>
      <c r="HM446">
        <v>0</v>
      </c>
      <c r="HN446">
        <v>26</v>
      </c>
      <c r="HO446" t="s">
        <v>1455</v>
      </c>
      <c r="HP446" s="26" t="s">
        <v>1358</v>
      </c>
      <c r="HZ446" t="s">
        <v>1295</v>
      </c>
      <c r="IA446">
        <v>266</v>
      </c>
      <c r="IB446" s="10" t="s">
        <v>822</v>
      </c>
      <c r="IC446" s="10"/>
      <c r="ID446" s="10"/>
      <c r="IE446" s="10" t="s">
        <v>1</v>
      </c>
      <c r="IF446" s="10" t="s">
        <v>1</v>
      </c>
      <c r="IG446" s="10"/>
      <c r="IH446" s="10"/>
      <c r="II446" s="10"/>
      <c r="IJ446" s="10"/>
      <c r="IK446" s="10"/>
      <c r="IL446" s="10"/>
      <c r="IM446" s="10"/>
      <c r="IN446" s="10"/>
      <c r="IO446" s="10"/>
      <c r="IP446" s="10"/>
      <c r="IQ446" s="10"/>
      <c r="IR446" s="10"/>
      <c r="IS446" t="s">
        <v>1</v>
      </c>
      <c r="IT446" t="s">
        <v>1</v>
      </c>
      <c r="IW446" t="s">
        <v>1</v>
      </c>
      <c r="IX446" t="s">
        <v>1</v>
      </c>
      <c r="IY446" t="s">
        <v>808</v>
      </c>
      <c r="IZ446">
        <v>1605</v>
      </c>
      <c r="JA446" t="s">
        <v>1</v>
      </c>
      <c r="JB446" s="3" t="s">
        <v>1</v>
      </c>
      <c r="JC446" t="s">
        <v>965</v>
      </c>
      <c r="JD446" s="4">
        <f t="shared" si="60"/>
        <v>9.5</v>
      </c>
      <c r="JE446" t="s">
        <v>810</v>
      </c>
      <c r="JF446">
        <v>100</v>
      </c>
      <c r="JR446" t="s">
        <v>1066</v>
      </c>
      <c r="JS446">
        <v>413.9</v>
      </c>
      <c r="JU446" t="s">
        <v>1</v>
      </c>
      <c r="JW446" t="s">
        <v>1</v>
      </c>
      <c r="JX446">
        <v>0</v>
      </c>
      <c r="JY446">
        <v>75</v>
      </c>
      <c r="JZ446" t="s">
        <v>800</v>
      </c>
      <c r="KA446" t="s">
        <v>432</v>
      </c>
      <c r="KB446" t="s">
        <v>738</v>
      </c>
      <c r="KC446" t="s">
        <v>1</v>
      </c>
      <c r="KD446" t="s">
        <v>1</v>
      </c>
      <c r="KE446" t="s">
        <v>1</v>
      </c>
      <c r="KF446" t="s">
        <v>1</v>
      </c>
      <c r="KG446" t="s">
        <v>1</v>
      </c>
      <c r="KH446" t="s">
        <v>1</v>
      </c>
      <c r="KI446" t="s">
        <v>1</v>
      </c>
      <c r="KJ446" t="s">
        <v>1</v>
      </c>
      <c r="KK446" t="s">
        <v>1</v>
      </c>
    </row>
    <row r="447" spans="1:297" x14ac:dyDescent="0.2">
      <c r="A447">
        <v>415</v>
      </c>
      <c r="B447" t="s">
        <v>705</v>
      </c>
      <c r="C447" t="s">
        <v>510</v>
      </c>
      <c r="D447" t="s">
        <v>504</v>
      </c>
      <c r="E447">
        <v>73</v>
      </c>
      <c r="F447" t="s">
        <v>505</v>
      </c>
      <c r="G447" t="s">
        <v>1</v>
      </c>
      <c r="H447" s="26" t="s">
        <v>1420</v>
      </c>
      <c r="I447" t="s">
        <v>1</v>
      </c>
      <c r="J447" t="s">
        <v>1</v>
      </c>
      <c r="K447" t="s">
        <v>1</v>
      </c>
      <c r="L447" t="s">
        <v>1</v>
      </c>
      <c r="M447" t="s">
        <v>1</v>
      </c>
      <c r="N447" t="s">
        <v>1</v>
      </c>
      <c r="O447" t="s">
        <v>1</v>
      </c>
      <c r="P447" t="s">
        <v>1</v>
      </c>
      <c r="Q447" t="s">
        <v>1</v>
      </c>
      <c r="R447" t="s">
        <v>1</v>
      </c>
      <c r="S447" t="s">
        <v>1</v>
      </c>
      <c r="T447" t="s">
        <v>1</v>
      </c>
      <c r="U447" t="s">
        <v>1</v>
      </c>
      <c r="V447" t="s">
        <v>1</v>
      </c>
      <c r="W447" t="s">
        <v>1</v>
      </c>
      <c r="X447" t="s">
        <v>1</v>
      </c>
      <c r="Y447" t="s">
        <v>1</v>
      </c>
      <c r="Z447" t="s">
        <v>1</v>
      </c>
      <c r="AA447" t="s">
        <v>1</v>
      </c>
      <c r="AB447" t="s">
        <v>1</v>
      </c>
      <c r="AC447" t="s">
        <v>1</v>
      </c>
      <c r="AD447" t="s">
        <v>1</v>
      </c>
      <c r="AE447" t="s">
        <v>1</v>
      </c>
      <c r="AF447" t="s">
        <v>1</v>
      </c>
      <c r="AG447" t="s">
        <v>1</v>
      </c>
      <c r="AH447" t="s">
        <v>1</v>
      </c>
      <c r="AI447" t="s">
        <v>1</v>
      </c>
      <c r="AJ447" t="s">
        <v>1</v>
      </c>
      <c r="AK447" t="s">
        <v>1</v>
      </c>
      <c r="AL447" t="s">
        <v>1</v>
      </c>
      <c r="AM447" t="s">
        <v>1</v>
      </c>
      <c r="AN447">
        <v>415</v>
      </c>
      <c r="AO447">
        <f t="shared" si="59"/>
        <v>415</v>
      </c>
      <c r="AP447">
        <f t="shared" si="55"/>
        <v>73</v>
      </c>
      <c r="AQ447">
        <f t="shared" ref="AQ447:AQ478" si="61">E447</f>
        <v>73</v>
      </c>
      <c r="AR447" s="26" t="s">
        <v>1355</v>
      </c>
      <c r="AS447" s="26" t="s">
        <v>1356</v>
      </c>
      <c r="AT447" t="s">
        <v>713</v>
      </c>
      <c r="AU447" t="s">
        <v>791</v>
      </c>
      <c r="AV447" t="s">
        <v>1</v>
      </c>
      <c r="AW447">
        <v>46.42</v>
      </c>
      <c r="AX447">
        <v>-94.75</v>
      </c>
      <c r="AY447" t="s">
        <v>737</v>
      </c>
      <c r="BA447" s="3">
        <v>4</v>
      </c>
      <c r="BB447" s="3"/>
      <c r="BC447" s="3"/>
      <c r="BD447" s="3"/>
      <c r="BE447" s="3"/>
      <c r="BF447">
        <v>1992</v>
      </c>
      <c r="BG447" s="24" t="s">
        <v>733</v>
      </c>
      <c r="BH447" s="24" t="s">
        <v>733</v>
      </c>
      <c r="BI447" s="24" t="s">
        <v>733</v>
      </c>
      <c r="BJ447" s="24" t="s">
        <v>732</v>
      </c>
      <c r="BK447" s="24" t="s">
        <v>733</v>
      </c>
      <c r="BL447" s="25" t="s">
        <v>733</v>
      </c>
      <c r="BM447" s="24" t="s">
        <v>733</v>
      </c>
      <c r="BN447" s="24" t="s">
        <v>732</v>
      </c>
      <c r="BO447" s="24" t="s">
        <v>733</v>
      </c>
      <c r="BP447" s="24" t="s">
        <v>733</v>
      </c>
      <c r="BQ447" s="24" t="s">
        <v>945</v>
      </c>
      <c r="BR447" s="24" t="s">
        <v>945</v>
      </c>
      <c r="BS447" s="25" t="s">
        <v>934</v>
      </c>
      <c r="BT447" s="24" t="s">
        <v>934</v>
      </c>
      <c r="BU447" s="24" t="s">
        <v>934</v>
      </c>
      <c r="BV447" s="24" t="s">
        <v>934</v>
      </c>
      <c r="BW447" s="24" t="s">
        <v>934</v>
      </c>
      <c r="BX447" s="24" t="s">
        <v>934</v>
      </c>
      <c r="BY447" s="25" t="s">
        <v>945</v>
      </c>
      <c r="BZ447" t="s">
        <v>5</v>
      </c>
      <c r="CB447" t="s">
        <v>1</v>
      </c>
      <c r="CC447" s="4">
        <f>AVERAGE(10.5,4.1)*1000</f>
        <v>7300</v>
      </c>
      <c r="CD447" s="4"/>
      <c r="CE447" s="4"/>
      <c r="CF447" t="s">
        <v>793</v>
      </c>
      <c r="CG447">
        <v>100</v>
      </c>
      <c r="CH447" t="s">
        <v>805</v>
      </c>
      <c r="CI447" s="28">
        <f t="shared" si="58"/>
        <v>0.75</v>
      </c>
      <c r="CJ447" s="9" t="s">
        <v>1</v>
      </c>
      <c r="CK447" s="9" t="s">
        <v>1</v>
      </c>
      <c r="CL447" s="4" t="s">
        <v>1</v>
      </c>
      <c r="CM447" t="s">
        <v>847</v>
      </c>
      <c r="CN447" s="4">
        <f>AVERAGE(212,71)</f>
        <v>141.5</v>
      </c>
      <c r="CO447" s="4" t="s">
        <v>1</v>
      </c>
      <c r="CP447" s="4" t="s">
        <v>1</v>
      </c>
      <c r="CQ447" s="4" t="s">
        <v>1</v>
      </c>
      <c r="CR447" s="4" t="s">
        <v>1</v>
      </c>
      <c r="CS447" s="4" t="s">
        <v>1</v>
      </c>
      <c r="CT447" s="4" t="s">
        <v>1</v>
      </c>
      <c r="CU447" s="4" t="s">
        <v>1</v>
      </c>
      <c r="CV447" t="s">
        <v>855</v>
      </c>
      <c r="CW447">
        <v>100</v>
      </c>
      <c r="CX447">
        <v>0</v>
      </c>
      <c r="CY447">
        <v>26</v>
      </c>
      <c r="CZ447" s="26" t="s">
        <v>1358</v>
      </c>
      <c r="DA447" t="s">
        <v>734</v>
      </c>
      <c r="DB447">
        <v>79</v>
      </c>
      <c r="DC447">
        <v>0</v>
      </c>
      <c r="DD447">
        <v>26</v>
      </c>
      <c r="DE447" s="26" t="s">
        <v>1358</v>
      </c>
      <c r="DF447" t="s">
        <v>735</v>
      </c>
      <c r="DG447">
        <v>13</v>
      </c>
      <c r="DH447">
        <v>0</v>
      </c>
      <c r="DI447">
        <v>26</v>
      </c>
      <c r="DJ447" s="26" t="s">
        <v>1358</v>
      </c>
      <c r="DK447" t="s">
        <v>736</v>
      </c>
      <c r="DL447">
        <v>8</v>
      </c>
      <c r="DM447">
        <v>0</v>
      </c>
      <c r="DN447">
        <v>26</v>
      </c>
      <c r="DO447" s="26" t="s">
        <v>1358</v>
      </c>
      <c r="DP447" t="s">
        <v>6</v>
      </c>
      <c r="DQ447" t="s">
        <v>812</v>
      </c>
      <c r="DR447">
        <v>5.3</v>
      </c>
      <c r="DS447">
        <v>0</v>
      </c>
      <c r="DT447">
        <v>26</v>
      </c>
      <c r="DU447" s="26" t="s">
        <v>1358</v>
      </c>
      <c r="EA447" t="s">
        <v>982</v>
      </c>
      <c r="EB447">
        <v>12.4</v>
      </c>
      <c r="EC447">
        <v>0</v>
      </c>
      <c r="ED447">
        <v>26</v>
      </c>
      <c r="EE447" s="26" t="s">
        <v>1358</v>
      </c>
      <c r="EF447" s="26"/>
      <c r="FZ447" t="s">
        <v>806</v>
      </c>
      <c r="GA447">
        <v>392.35</v>
      </c>
      <c r="GE447" s="26" t="s">
        <v>1358</v>
      </c>
      <c r="HA447" s="5" t="s">
        <v>1</v>
      </c>
      <c r="HB447" s="4" t="s">
        <v>1</v>
      </c>
      <c r="HC447" t="s">
        <v>1</v>
      </c>
      <c r="HD447" t="s">
        <v>1</v>
      </c>
      <c r="HE447" t="s">
        <v>1</v>
      </c>
      <c r="HF447" s="5" t="s">
        <v>1</v>
      </c>
      <c r="HG447" s="4" t="s">
        <v>1</v>
      </c>
      <c r="HH447" t="s">
        <v>1</v>
      </c>
      <c r="HI447" t="s">
        <v>1</v>
      </c>
      <c r="HJ447" t="s">
        <v>1</v>
      </c>
      <c r="HK447" t="s">
        <v>815</v>
      </c>
      <c r="HL447" s="4">
        <v>1.55</v>
      </c>
      <c r="HM447">
        <v>0</v>
      </c>
      <c r="HN447">
        <v>26</v>
      </c>
      <c r="HO447" t="s">
        <v>1455</v>
      </c>
      <c r="HP447" s="26" t="s">
        <v>1358</v>
      </c>
      <c r="HZ447" t="s">
        <v>969</v>
      </c>
      <c r="IA447">
        <v>16</v>
      </c>
      <c r="IB447" s="10" t="s">
        <v>1</v>
      </c>
      <c r="IC447" s="10"/>
      <c r="ID447" s="10"/>
      <c r="IE447" s="10" t="s">
        <v>1</v>
      </c>
      <c r="IF447" s="10" t="s">
        <v>1</v>
      </c>
      <c r="IG447" s="10"/>
      <c r="IH447" s="10"/>
      <c r="II447" s="10"/>
      <c r="IJ447" s="10"/>
      <c r="IK447" s="10"/>
      <c r="IL447" s="10"/>
      <c r="IM447" s="10"/>
      <c r="IN447" s="10"/>
      <c r="IO447" s="10"/>
      <c r="IP447" s="10"/>
      <c r="IQ447" s="10"/>
      <c r="IR447" s="10"/>
      <c r="IS447" t="s">
        <v>978</v>
      </c>
      <c r="IT447">
        <v>218</v>
      </c>
      <c r="IW447" t="s">
        <v>1</v>
      </c>
      <c r="IX447" t="s">
        <v>1</v>
      </c>
      <c r="IY447" t="s">
        <v>808</v>
      </c>
      <c r="IZ447">
        <v>1605</v>
      </c>
      <c r="JA447" t="s">
        <v>1</v>
      </c>
      <c r="JB447" s="3" t="s">
        <v>1</v>
      </c>
      <c r="JC447" t="s">
        <v>965</v>
      </c>
      <c r="JD447" s="4">
        <f t="shared" si="60"/>
        <v>9.5</v>
      </c>
      <c r="JE447" t="s">
        <v>810</v>
      </c>
      <c r="JF447">
        <v>100</v>
      </c>
      <c r="JR447" t="s">
        <v>1066</v>
      </c>
      <c r="JS447">
        <v>236.8</v>
      </c>
      <c r="JU447" t="s">
        <v>1</v>
      </c>
      <c r="JW447" t="s">
        <v>1</v>
      </c>
      <c r="JX447">
        <v>0</v>
      </c>
      <c r="JY447">
        <v>75</v>
      </c>
      <c r="JZ447" t="s">
        <v>800</v>
      </c>
      <c r="KA447" t="s">
        <v>432</v>
      </c>
      <c r="KB447" t="s">
        <v>738</v>
      </c>
      <c r="KC447" t="s">
        <v>1</v>
      </c>
      <c r="KD447" t="s">
        <v>1</v>
      </c>
      <c r="KE447" t="s">
        <v>1</v>
      </c>
      <c r="KF447" t="s">
        <v>1</v>
      </c>
      <c r="KG447" t="s">
        <v>1</v>
      </c>
      <c r="KH447" t="s">
        <v>1</v>
      </c>
      <c r="KI447" t="s">
        <v>1</v>
      </c>
      <c r="KJ447" t="s">
        <v>1</v>
      </c>
      <c r="KK447" t="s">
        <v>1</v>
      </c>
    </row>
    <row r="448" spans="1:297" x14ac:dyDescent="0.2">
      <c r="A448">
        <v>416</v>
      </c>
      <c r="B448" t="s">
        <v>705</v>
      </c>
      <c r="C448" t="s">
        <v>511</v>
      </c>
      <c r="D448" t="s">
        <v>504</v>
      </c>
      <c r="E448">
        <v>73</v>
      </c>
      <c r="F448" t="s">
        <v>505</v>
      </c>
      <c r="G448" t="s">
        <v>1</v>
      </c>
      <c r="H448" s="26" t="s">
        <v>1420</v>
      </c>
      <c r="I448" t="s">
        <v>1</v>
      </c>
      <c r="J448" t="s">
        <v>1</v>
      </c>
      <c r="K448" t="s">
        <v>1</v>
      </c>
      <c r="L448" t="s">
        <v>1</v>
      </c>
      <c r="M448" t="s">
        <v>1</v>
      </c>
      <c r="N448" t="s">
        <v>1</v>
      </c>
      <c r="O448" t="s">
        <v>1</v>
      </c>
      <c r="P448" t="s">
        <v>1</v>
      </c>
      <c r="Q448" t="s">
        <v>1</v>
      </c>
      <c r="R448" t="s">
        <v>1</v>
      </c>
      <c r="S448" t="s">
        <v>1</v>
      </c>
      <c r="T448" t="s">
        <v>1</v>
      </c>
      <c r="U448" t="s">
        <v>1</v>
      </c>
      <c r="V448" t="s">
        <v>1</v>
      </c>
      <c r="W448" t="s">
        <v>1</v>
      </c>
      <c r="X448" t="s">
        <v>1</v>
      </c>
      <c r="Y448" t="s">
        <v>1</v>
      </c>
      <c r="Z448" t="s">
        <v>1</v>
      </c>
      <c r="AA448" t="s">
        <v>1</v>
      </c>
      <c r="AB448" t="s">
        <v>1</v>
      </c>
      <c r="AC448" t="s">
        <v>1</v>
      </c>
      <c r="AD448" t="s">
        <v>1</v>
      </c>
      <c r="AE448" t="s">
        <v>1</v>
      </c>
      <c r="AF448" t="s">
        <v>1</v>
      </c>
      <c r="AG448" t="s">
        <v>1</v>
      </c>
      <c r="AH448" t="s">
        <v>1</v>
      </c>
      <c r="AI448" t="s">
        <v>1</v>
      </c>
      <c r="AJ448" t="s">
        <v>1</v>
      </c>
      <c r="AK448" t="s">
        <v>1</v>
      </c>
      <c r="AL448" t="s">
        <v>1</v>
      </c>
      <c r="AM448" t="s">
        <v>1</v>
      </c>
      <c r="AN448">
        <v>416</v>
      </c>
      <c r="AO448">
        <f t="shared" si="59"/>
        <v>416</v>
      </c>
      <c r="AP448">
        <f t="shared" si="55"/>
        <v>73</v>
      </c>
      <c r="AQ448">
        <f t="shared" si="61"/>
        <v>73</v>
      </c>
      <c r="AR448" s="26" t="s">
        <v>1355</v>
      </c>
      <c r="AS448" s="26" t="s">
        <v>1356</v>
      </c>
      <c r="AT448" t="s">
        <v>713</v>
      </c>
      <c r="AU448" t="s">
        <v>791</v>
      </c>
      <c r="AV448" t="s">
        <v>1</v>
      </c>
      <c r="AW448">
        <v>46.42</v>
      </c>
      <c r="AX448">
        <v>-94.75</v>
      </c>
      <c r="AY448" t="s">
        <v>737</v>
      </c>
      <c r="BA448" s="3">
        <v>4</v>
      </c>
      <c r="BB448" s="3"/>
      <c r="BC448" s="3"/>
      <c r="BD448" s="3"/>
      <c r="BE448" s="3"/>
      <c r="BF448">
        <v>1992</v>
      </c>
      <c r="BG448" s="24" t="s">
        <v>733</v>
      </c>
      <c r="BH448" s="24" t="s">
        <v>733</v>
      </c>
      <c r="BI448" s="24" t="s">
        <v>733</v>
      </c>
      <c r="BJ448" s="24" t="s">
        <v>732</v>
      </c>
      <c r="BK448" s="24" t="s">
        <v>733</v>
      </c>
      <c r="BL448" s="25" t="s">
        <v>733</v>
      </c>
      <c r="BM448" s="24" t="s">
        <v>733</v>
      </c>
      <c r="BN448" s="24" t="s">
        <v>732</v>
      </c>
      <c r="BO448" s="24" t="s">
        <v>733</v>
      </c>
      <c r="BP448" s="24" t="s">
        <v>733</v>
      </c>
      <c r="BQ448" s="24" t="s">
        <v>945</v>
      </c>
      <c r="BR448" s="24" t="s">
        <v>945</v>
      </c>
      <c r="BS448" s="25" t="s">
        <v>934</v>
      </c>
      <c r="BT448" s="24" t="s">
        <v>934</v>
      </c>
      <c r="BU448" s="24" t="s">
        <v>934</v>
      </c>
      <c r="BV448" s="24" t="s">
        <v>934</v>
      </c>
      <c r="BW448" s="24" t="s">
        <v>934</v>
      </c>
      <c r="BX448" s="24" t="s">
        <v>934</v>
      </c>
      <c r="BY448" s="25" t="s">
        <v>945</v>
      </c>
      <c r="BZ448" t="s">
        <v>5</v>
      </c>
      <c r="CB448" t="s">
        <v>1</v>
      </c>
      <c r="CC448" s="4">
        <f>AVERAGE(10.6,6.5)*1000</f>
        <v>8550</v>
      </c>
      <c r="CD448" s="4"/>
      <c r="CE448" s="4"/>
      <c r="CF448" t="s">
        <v>793</v>
      </c>
      <c r="CG448">
        <v>100</v>
      </c>
      <c r="CH448" t="s">
        <v>805</v>
      </c>
      <c r="CI448" s="28">
        <f t="shared" si="58"/>
        <v>0.75</v>
      </c>
      <c r="CJ448" s="9" t="s">
        <v>1</v>
      </c>
      <c r="CK448" s="9" t="s">
        <v>1</v>
      </c>
      <c r="CL448" s="4" t="s">
        <v>1</v>
      </c>
      <c r="CM448" t="s">
        <v>847</v>
      </c>
      <c r="CN448" s="4">
        <f>AVERAGE(225,151)</f>
        <v>188</v>
      </c>
      <c r="CO448" s="4" t="s">
        <v>1</v>
      </c>
      <c r="CP448" s="4" t="s">
        <v>1</v>
      </c>
      <c r="CQ448" s="4" t="s">
        <v>1</v>
      </c>
      <c r="CR448" s="4" t="s">
        <v>1</v>
      </c>
      <c r="CS448" s="4" t="s">
        <v>1</v>
      </c>
      <c r="CT448" s="4" t="s">
        <v>1</v>
      </c>
      <c r="CU448" s="4" t="s">
        <v>1</v>
      </c>
      <c r="CV448" t="s">
        <v>855</v>
      </c>
      <c r="CW448">
        <v>100</v>
      </c>
      <c r="CX448">
        <v>0</v>
      </c>
      <c r="CY448">
        <v>26</v>
      </c>
      <c r="CZ448" s="26" t="s">
        <v>1358</v>
      </c>
      <c r="DA448" t="s">
        <v>734</v>
      </c>
      <c r="DB448">
        <v>79</v>
      </c>
      <c r="DC448">
        <v>0</v>
      </c>
      <c r="DD448">
        <v>26</v>
      </c>
      <c r="DE448" s="26" t="s">
        <v>1358</v>
      </c>
      <c r="DF448" t="s">
        <v>735</v>
      </c>
      <c r="DG448">
        <v>13</v>
      </c>
      <c r="DH448">
        <v>0</v>
      </c>
      <c r="DI448">
        <v>26</v>
      </c>
      <c r="DJ448" s="26" t="s">
        <v>1358</v>
      </c>
      <c r="DK448" t="s">
        <v>736</v>
      </c>
      <c r="DL448">
        <v>8</v>
      </c>
      <c r="DM448">
        <v>0</v>
      </c>
      <c r="DN448">
        <v>26</v>
      </c>
      <c r="DO448" s="26" t="s">
        <v>1358</v>
      </c>
      <c r="DP448" t="s">
        <v>6</v>
      </c>
      <c r="DQ448" t="s">
        <v>812</v>
      </c>
      <c r="DR448">
        <v>5.3</v>
      </c>
      <c r="DS448">
        <v>0</v>
      </c>
      <c r="DT448">
        <v>26</v>
      </c>
      <c r="DU448" s="26" t="s">
        <v>1358</v>
      </c>
      <c r="EA448" t="s">
        <v>982</v>
      </c>
      <c r="EB448">
        <v>12.4</v>
      </c>
      <c r="EC448">
        <v>0</v>
      </c>
      <c r="ED448">
        <v>26</v>
      </c>
      <c r="EE448" s="26" t="s">
        <v>1358</v>
      </c>
      <c r="EF448" s="26"/>
      <c r="FZ448" t="s">
        <v>806</v>
      </c>
      <c r="GA448">
        <v>392.35</v>
      </c>
      <c r="GE448" s="26" t="s">
        <v>1358</v>
      </c>
      <c r="HA448" s="5" t="s">
        <v>1</v>
      </c>
      <c r="HB448" s="4" t="s">
        <v>1</v>
      </c>
      <c r="HC448" t="s">
        <v>1</v>
      </c>
      <c r="HD448" t="s">
        <v>1</v>
      </c>
      <c r="HE448" t="s">
        <v>1</v>
      </c>
      <c r="HF448" s="5" t="s">
        <v>1</v>
      </c>
      <c r="HG448" s="4" t="s">
        <v>1</v>
      </c>
      <c r="HH448" t="s">
        <v>1</v>
      </c>
      <c r="HI448" t="s">
        <v>1</v>
      </c>
      <c r="HJ448" t="s">
        <v>1</v>
      </c>
      <c r="HK448" t="s">
        <v>815</v>
      </c>
      <c r="HL448" s="4">
        <v>1.55</v>
      </c>
      <c r="HM448">
        <v>0</v>
      </c>
      <c r="HN448">
        <v>26</v>
      </c>
      <c r="HO448" t="s">
        <v>1455</v>
      </c>
      <c r="HP448" s="26" t="s">
        <v>1358</v>
      </c>
      <c r="HZ448" t="s">
        <v>969</v>
      </c>
      <c r="IA448">
        <v>16</v>
      </c>
      <c r="IB448" s="10" t="s">
        <v>1</v>
      </c>
      <c r="IC448" s="10"/>
      <c r="ID448" s="10"/>
      <c r="IE448" s="10" t="s">
        <v>1</v>
      </c>
      <c r="IF448" s="10" t="s">
        <v>1</v>
      </c>
      <c r="IG448" s="10"/>
      <c r="IH448" s="10"/>
      <c r="II448" s="10"/>
      <c r="IJ448" s="10"/>
      <c r="IK448" s="10"/>
      <c r="IL448" s="10"/>
      <c r="IM448" s="10"/>
      <c r="IN448" s="10"/>
      <c r="IO448" s="10"/>
      <c r="IP448" s="10"/>
      <c r="IQ448" s="10"/>
      <c r="IR448" s="10"/>
      <c r="IS448" t="s">
        <v>978</v>
      </c>
      <c r="IT448">
        <v>205</v>
      </c>
      <c r="IW448" t="s">
        <v>1</v>
      </c>
      <c r="IX448" t="s">
        <v>1</v>
      </c>
      <c r="IY448" t="s">
        <v>808</v>
      </c>
      <c r="IZ448">
        <v>1605</v>
      </c>
      <c r="JA448" t="s">
        <v>1</v>
      </c>
      <c r="JB448" s="3" t="s">
        <v>1</v>
      </c>
      <c r="JC448" t="s">
        <v>965</v>
      </c>
      <c r="JD448" s="4">
        <f t="shared" si="60"/>
        <v>9.5</v>
      </c>
      <c r="JE448" t="s">
        <v>810</v>
      </c>
      <c r="JF448">
        <v>100</v>
      </c>
      <c r="JR448" t="s">
        <v>1066</v>
      </c>
      <c r="JS448">
        <v>458.2</v>
      </c>
      <c r="JU448" t="s">
        <v>1</v>
      </c>
      <c r="JW448" t="s">
        <v>1</v>
      </c>
      <c r="JX448">
        <v>0</v>
      </c>
      <c r="JY448">
        <v>75</v>
      </c>
      <c r="JZ448" t="s">
        <v>800</v>
      </c>
      <c r="KA448" t="s">
        <v>432</v>
      </c>
      <c r="KB448" t="s">
        <v>738</v>
      </c>
      <c r="KC448" t="s">
        <v>1</v>
      </c>
      <c r="KD448" t="s">
        <v>1</v>
      </c>
      <c r="KE448" t="s">
        <v>1</v>
      </c>
      <c r="KF448" t="s">
        <v>1</v>
      </c>
      <c r="KG448" t="s">
        <v>1</v>
      </c>
      <c r="KH448" t="s">
        <v>1</v>
      </c>
      <c r="KI448" t="s">
        <v>1</v>
      </c>
      <c r="KJ448" t="s">
        <v>1</v>
      </c>
      <c r="KK448" t="s">
        <v>1</v>
      </c>
    </row>
    <row r="449" spans="1:297" x14ac:dyDescent="0.2">
      <c r="A449">
        <v>417</v>
      </c>
      <c r="B449" t="s">
        <v>705</v>
      </c>
      <c r="C449" t="s">
        <v>512</v>
      </c>
      <c r="D449" t="s">
        <v>504</v>
      </c>
      <c r="E449">
        <v>73</v>
      </c>
      <c r="F449" t="s">
        <v>505</v>
      </c>
      <c r="G449" t="s">
        <v>1</v>
      </c>
      <c r="H449" s="26" t="s">
        <v>1420</v>
      </c>
      <c r="I449" t="s">
        <v>1</v>
      </c>
      <c r="J449" t="s">
        <v>1</v>
      </c>
      <c r="K449" t="s">
        <v>1</v>
      </c>
      <c r="L449" t="s">
        <v>1</v>
      </c>
      <c r="M449" t="s">
        <v>1</v>
      </c>
      <c r="N449" t="s">
        <v>1</v>
      </c>
      <c r="O449" t="s">
        <v>1</v>
      </c>
      <c r="P449" t="s">
        <v>1</v>
      </c>
      <c r="Q449" t="s">
        <v>1</v>
      </c>
      <c r="R449" t="s">
        <v>1</v>
      </c>
      <c r="S449" t="s">
        <v>1</v>
      </c>
      <c r="T449" t="s">
        <v>1</v>
      </c>
      <c r="U449" t="s">
        <v>1</v>
      </c>
      <c r="V449" t="s">
        <v>1</v>
      </c>
      <c r="W449" t="s">
        <v>1</v>
      </c>
      <c r="X449" t="s">
        <v>1</v>
      </c>
      <c r="Y449" t="s">
        <v>1</v>
      </c>
      <c r="Z449" t="s">
        <v>1</v>
      </c>
      <c r="AA449" t="s">
        <v>1</v>
      </c>
      <c r="AB449" t="s">
        <v>1</v>
      </c>
      <c r="AC449" t="s">
        <v>1</v>
      </c>
      <c r="AD449" t="s">
        <v>1</v>
      </c>
      <c r="AE449" t="s">
        <v>1</v>
      </c>
      <c r="AF449" t="s">
        <v>1</v>
      </c>
      <c r="AG449" t="s">
        <v>1</v>
      </c>
      <c r="AH449" t="s">
        <v>1</v>
      </c>
      <c r="AI449" t="s">
        <v>1</v>
      </c>
      <c r="AJ449" t="s">
        <v>1</v>
      </c>
      <c r="AK449" t="s">
        <v>1</v>
      </c>
      <c r="AL449" t="s">
        <v>1</v>
      </c>
      <c r="AM449" t="s">
        <v>1</v>
      </c>
      <c r="AN449">
        <v>417</v>
      </c>
      <c r="AO449">
        <f t="shared" si="59"/>
        <v>417</v>
      </c>
      <c r="AP449">
        <f t="shared" si="55"/>
        <v>73</v>
      </c>
      <c r="AQ449">
        <f t="shared" si="61"/>
        <v>73</v>
      </c>
      <c r="AR449" s="26" t="s">
        <v>1355</v>
      </c>
      <c r="AS449" s="26" t="s">
        <v>1356</v>
      </c>
      <c r="AT449" t="s">
        <v>713</v>
      </c>
      <c r="AU449" t="s">
        <v>791</v>
      </c>
      <c r="AV449" t="s">
        <v>1</v>
      </c>
      <c r="AW449">
        <v>46.42</v>
      </c>
      <c r="AX449">
        <v>-94.75</v>
      </c>
      <c r="AY449" t="s">
        <v>737</v>
      </c>
      <c r="BA449" s="3">
        <v>4</v>
      </c>
      <c r="BB449" s="3"/>
      <c r="BC449" s="3"/>
      <c r="BD449" s="3"/>
      <c r="BE449" s="3"/>
      <c r="BF449">
        <v>1992</v>
      </c>
      <c r="BG449" s="24" t="s">
        <v>733</v>
      </c>
      <c r="BH449" s="24" t="s">
        <v>733</v>
      </c>
      <c r="BI449" s="24" t="s">
        <v>733</v>
      </c>
      <c r="BJ449" s="24" t="s">
        <v>732</v>
      </c>
      <c r="BK449" s="24" t="s">
        <v>733</v>
      </c>
      <c r="BL449" s="25" t="s">
        <v>733</v>
      </c>
      <c r="BM449" s="24" t="s">
        <v>733</v>
      </c>
      <c r="BN449" s="24" t="s">
        <v>732</v>
      </c>
      <c r="BO449" s="24" t="s">
        <v>733</v>
      </c>
      <c r="BP449" s="24" t="s">
        <v>733</v>
      </c>
      <c r="BQ449" s="24" t="s">
        <v>945</v>
      </c>
      <c r="BR449" s="24" t="s">
        <v>945</v>
      </c>
      <c r="BS449" s="25" t="s">
        <v>934</v>
      </c>
      <c r="BT449" s="24" t="s">
        <v>934</v>
      </c>
      <c r="BU449" s="24" t="s">
        <v>934</v>
      </c>
      <c r="BV449" s="24" t="s">
        <v>934</v>
      </c>
      <c r="BW449" s="24" t="s">
        <v>934</v>
      </c>
      <c r="BX449" s="24" t="s">
        <v>934</v>
      </c>
      <c r="BY449" s="25" t="s">
        <v>945</v>
      </c>
      <c r="BZ449" t="s">
        <v>5</v>
      </c>
      <c r="CB449" t="s">
        <v>1</v>
      </c>
      <c r="CC449" s="4">
        <f>AVERAGE(8.1,2.6)*1000</f>
        <v>5350</v>
      </c>
      <c r="CD449" s="4"/>
      <c r="CE449" s="4"/>
      <c r="CF449" t="s">
        <v>793</v>
      </c>
      <c r="CG449">
        <v>100</v>
      </c>
      <c r="CH449" t="s">
        <v>805</v>
      </c>
      <c r="CI449" s="28">
        <f t="shared" si="58"/>
        <v>0.75</v>
      </c>
      <c r="CJ449" s="9" t="s">
        <v>1</v>
      </c>
      <c r="CK449" s="9" t="s">
        <v>1</v>
      </c>
      <c r="CL449" s="4" t="s">
        <v>1</v>
      </c>
      <c r="CM449" t="s">
        <v>847</v>
      </c>
      <c r="CN449" s="4">
        <f>AVERAGE(118,45)</f>
        <v>81.5</v>
      </c>
      <c r="CO449" s="4" t="s">
        <v>1</v>
      </c>
      <c r="CP449" s="4" t="s">
        <v>1</v>
      </c>
      <c r="CQ449" s="4" t="s">
        <v>1</v>
      </c>
      <c r="CR449" s="4" t="s">
        <v>1</v>
      </c>
      <c r="CS449" s="4" t="s">
        <v>1</v>
      </c>
      <c r="CT449" s="4" t="s">
        <v>1</v>
      </c>
      <c r="CU449" s="4" t="s">
        <v>1</v>
      </c>
      <c r="CV449" t="s">
        <v>855</v>
      </c>
      <c r="CW449">
        <v>100</v>
      </c>
      <c r="CX449">
        <v>0</v>
      </c>
      <c r="CY449">
        <v>26</v>
      </c>
      <c r="CZ449" s="26" t="s">
        <v>1358</v>
      </c>
      <c r="DA449" t="s">
        <v>734</v>
      </c>
      <c r="DB449">
        <v>79</v>
      </c>
      <c r="DC449">
        <v>0</v>
      </c>
      <c r="DD449">
        <v>26</v>
      </c>
      <c r="DE449" s="26" t="s">
        <v>1358</v>
      </c>
      <c r="DF449" t="s">
        <v>735</v>
      </c>
      <c r="DG449">
        <v>13</v>
      </c>
      <c r="DH449">
        <v>0</v>
      </c>
      <c r="DI449">
        <v>26</v>
      </c>
      <c r="DJ449" s="26" t="s">
        <v>1358</v>
      </c>
      <c r="DK449" t="s">
        <v>736</v>
      </c>
      <c r="DL449">
        <v>8</v>
      </c>
      <c r="DM449">
        <v>0</v>
      </c>
      <c r="DN449">
        <v>26</v>
      </c>
      <c r="DO449" s="26" t="s">
        <v>1358</v>
      </c>
      <c r="DP449" t="s">
        <v>6</v>
      </c>
      <c r="DQ449" t="s">
        <v>812</v>
      </c>
      <c r="DR449">
        <v>5.3</v>
      </c>
      <c r="DS449">
        <v>0</v>
      </c>
      <c r="DT449">
        <v>26</v>
      </c>
      <c r="DU449" s="26" t="s">
        <v>1358</v>
      </c>
      <c r="EA449" t="s">
        <v>982</v>
      </c>
      <c r="EB449">
        <v>12.4</v>
      </c>
      <c r="EC449">
        <v>0</v>
      </c>
      <c r="ED449">
        <v>26</v>
      </c>
      <c r="EE449" s="26" t="s">
        <v>1358</v>
      </c>
      <c r="EF449" s="26"/>
      <c r="FZ449" t="s">
        <v>806</v>
      </c>
      <c r="GA449">
        <v>392.35</v>
      </c>
      <c r="GE449" s="26" t="s">
        <v>1358</v>
      </c>
      <c r="HA449" s="5" t="s">
        <v>1</v>
      </c>
      <c r="HB449" s="4" t="s">
        <v>1</v>
      </c>
      <c r="HC449" t="s">
        <v>1</v>
      </c>
      <c r="HD449" t="s">
        <v>1</v>
      </c>
      <c r="HE449" t="s">
        <v>1</v>
      </c>
      <c r="HF449" s="5" t="s">
        <v>1</v>
      </c>
      <c r="HG449" s="4" t="s">
        <v>1</v>
      </c>
      <c r="HH449" t="s">
        <v>1</v>
      </c>
      <c r="HI449" t="s">
        <v>1</v>
      </c>
      <c r="HJ449" t="s">
        <v>1</v>
      </c>
      <c r="HK449" t="s">
        <v>815</v>
      </c>
      <c r="HL449" s="4">
        <v>1.55</v>
      </c>
      <c r="HM449">
        <v>0</v>
      </c>
      <c r="HN449">
        <v>26</v>
      </c>
      <c r="HO449" t="s">
        <v>1455</v>
      </c>
      <c r="HP449" s="26" t="s">
        <v>1358</v>
      </c>
      <c r="HZ449" t="s">
        <v>969</v>
      </c>
      <c r="IA449">
        <v>16</v>
      </c>
      <c r="IB449" s="10" t="s">
        <v>1</v>
      </c>
      <c r="IC449" s="10"/>
      <c r="ID449" s="10"/>
      <c r="IE449" s="10" t="s">
        <v>1</v>
      </c>
      <c r="IF449" s="10" t="s">
        <v>1</v>
      </c>
      <c r="IG449" s="10"/>
      <c r="IH449" s="10"/>
      <c r="II449" s="10"/>
      <c r="IJ449" s="10"/>
      <c r="IK449" s="10"/>
      <c r="IL449" s="10"/>
      <c r="IM449" s="10"/>
      <c r="IN449" s="10"/>
      <c r="IO449" s="10"/>
      <c r="IP449" s="10"/>
      <c r="IQ449" s="10"/>
      <c r="IR449" s="10"/>
      <c r="IS449" t="s">
        <v>1</v>
      </c>
      <c r="IT449" t="s">
        <v>1</v>
      </c>
      <c r="IW449" t="s">
        <v>1</v>
      </c>
      <c r="IX449" t="s">
        <v>1</v>
      </c>
      <c r="IY449" t="s">
        <v>808</v>
      </c>
      <c r="IZ449">
        <v>1522.5</v>
      </c>
      <c r="JA449" t="s">
        <v>1</v>
      </c>
      <c r="JB449" s="3" t="s">
        <v>1</v>
      </c>
      <c r="JC449" t="s">
        <v>965</v>
      </c>
      <c r="JD449" s="4">
        <f t="shared" si="60"/>
        <v>9.5</v>
      </c>
      <c r="JE449" t="s">
        <v>810</v>
      </c>
      <c r="JF449">
        <v>100</v>
      </c>
      <c r="JR449" t="s">
        <v>1066</v>
      </c>
      <c r="JS449">
        <v>106.2</v>
      </c>
      <c r="JU449" t="s">
        <v>1</v>
      </c>
      <c r="JW449" t="s">
        <v>1</v>
      </c>
      <c r="JX449">
        <v>0</v>
      </c>
      <c r="JY449">
        <v>75</v>
      </c>
      <c r="JZ449" t="s">
        <v>800</v>
      </c>
      <c r="KA449" t="s">
        <v>432</v>
      </c>
      <c r="KB449" t="s">
        <v>738</v>
      </c>
      <c r="KC449" t="s">
        <v>1</v>
      </c>
      <c r="KD449" t="s">
        <v>1</v>
      </c>
      <c r="KE449" t="s">
        <v>1</v>
      </c>
      <c r="KF449" t="s">
        <v>1</v>
      </c>
      <c r="KG449" t="s">
        <v>1</v>
      </c>
      <c r="KH449" t="s">
        <v>1</v>
      </c>
      <c r="KI449" t="s">
        <v>1</v>
      </c>
      <c r="KJ449" t="s">
        <v>1</v>
      </c>
      <c r="KK449" t="s">
        <v>1</v>
      </c>
    </row>
    <row r="450" spans="1:297" x14ac:dyDescent="0.2">
      <c r="A450">
        <v>418</v>
      </c>
      <c r="B450" t="s">
        <v>705</v>
      </c>
      <c r="C450" t="s">
        <v>513</v>
      </c>
      <c r="D450" t="s">
        <v>504</v>
      </c>
      <c r="E450">
        <v>73</v>
      </c>
      <c r="F450" t="s">
        <v>505</v>
      </c>
      <c r="G450" t="s">
        <v>1</v>
      </c>
      <c r="H450" s="26" t="s">
        <v>1420</v>
      </c>
      <c r="I450" t="s">
        <v>1</v>
      </c>
      <c r="J450" t="s">
        <v>1</v>
      </c>
      <c r="K450" t="s">
        <v>1</v>
      </c>
      <c r="L450" t="s">
        <v>1</v>
      </c>
      <c r="M450" t="s">
        <v>1</v>
      </c>
      <c r="N450" t="s">
        <v>1</v>
      </c>
      <c r="O450" t="s">
        <v>1</v>
      </c>
      <c r="P450" t="s">
        <v>1</v>
      </c>
      <c r="Q450" t="s">
        <v>1</v>
      </c>
      <c r="R450" t="s">
        <v>1</v>
      </c>
      <c r="S450" t="s">
        <v>1</v>
      </c>
      <c r="T450" t="s">
        <v>1</v>
      </c>
      <c r="U450" t="s">
        <v>1</v>
      </c>
      <c r="V450" t="s">
        <v>1</v>
      </c>
      <c r="W450" t="s">
        <v>1</v>
      </c>
      <c r="X450" t="s">
        <v>1</v>
      </c>
      <c r="Y450" t="s">
        <v>1</v>
      </c>
      <c r="Z450" t="s">
        <v>1</v>
      </c>
      <c r="AA450" t="s">
        <v>1</v>
      </c>
      <c r="AB450" t="s">
        <v>1</v>
      </c>
      <c r="AC450" t="s">
        <v>1</v>
      </c>
      <c r="AD450" t="s">
        <v>1</v>
      </c>
      <c r="AE450" t="s">
        <v>1</v>
      </c>
      <c r="AF450" t="s">
        <v>1</v>
      </c>
      <c r="AG450" t="s">
        <v>1</v>
      </c>
      <c r="AH450" t="s">
        <v>1</v>
      </c>
      <c r="AI450" t="s">
        <v>1</v>
      </c>
      <c r="AJ450" t="s">
        <v>1</v>
      </c>
      <c r="AK450" t="s">
        <v>1</v>
      </c>
      <c r="AL450" t="s">
        <v>1</v>
      </c>
      <c r="AM450" t="s">
        <v>1</v>
      </c>
      <c r="AN450">
        <v>418</v>
      </c>
      <c r="AO450">
        <f t="shared" si="59"/>
        <v>418</v>
      </c>
      <c r="AP450">
        <f t="shared" ref="AP450:AP513" si="62">E450</f>
        <v>73</v>
      </c>
      <c r="AQ450">
        <f t="shared" si="61"/>
        <v>73</v>
      </c>
      <c r="AR450" s="26" t="s">
        <v>1355</v>
      </c>
      <c r="AS450" s="26" t="s">
        <v>1356</v>
      </c>
      <c r="AT450" t="s">
        <v>713</v>
      </c>
      <c r="AU450" t="s">
        <v>791</v>
      </c>
      <c r="AV450" t="s">
        <v>1</v>
      </c>
      <c r="AW450">
        <v>46.42</v>
      </c>
      <c r="AX450">
        <v>-94.75</v>
      </c>
      <c r="AY450" t="s">
        <v>737</v>
      </c>
      <c r="BA450" s="3">
        <v>4</v>
      </c>
      <c r="BB450" s="3"/>
      <c r="BC450" s="3"/>
      <c r="BD450" s="3"/>
      <c r="BE450" s="3"/>
      <c r="BF450">
        <v>1992</v>
      </c>
      <c r="BG450" s="24" t="s">
        <v>733</v>
      </c>
      <c r="BH450" s="24" t="s">
        <v>733</v>
      </c>
      <c r="BI450" s="24" t="s">
        <v>733</v>
      </c>
      <c r="BJ450" s="24" t="s">
        <v>732</v>
      </c>
      <c r="BK450" s="24" t="s">
        <v>733</v>
      </c>
      <c r="BL450" s="25" t="s">
        <v>733</v>
      </c>
      <c r="BM450" s="24" t="s">
        <v>733</v>
      </c>
      <c r="BN450" s="24" t="s">
        <v>732</v>
      </c>
      <c r="BO450" s="24" t="s">
        <v>733</v>
      </c>
      <c r="BP450" s="24" t="s">
        <v>733</v>
      </c>
      <c r="BQ450" s="24" t="s">
        <v>945</v>
      </c>
      <c r="BR450" s="24" t="s">
        <v>945</v>
      </c>
      <c r="BS450" s="25" t="s">
        <v>934</v>
      </c>
      <c r="BT450" s="24" t="s">
        <v>934</v>
      </c>
      <c r="BU450" s="24" t="s">
        <v>934</v>
      </c>
      <c r="BV450" s="24" t="s">
        <v>934</v>
      </c>
      <c r="BW450" s="24" t="s">
        <v>934</v>
      </c>
      <c r="BX450" s="24" t="s">
        <v>934</v>
      </c>
      <c r="BY450" s="25" t="s">
        <v>945</v>
      </c>
      <c r="BZ450" t="s">
        <v>5</v>
      </c>
      <c r="CB450" t="s">
        <v>1</v>
      </c>
      <c r="CC450" s="4">
        <f>AVERAGE(9.2,5.2)*1000</f>
        <v>7199.9999999999991</v>
      </c>
      <c r="CD450" s="4"/>
      <c r="CE450" s="4"/>
      <c r="CF450" t="s">
        <v>793</v>
      </c>
      <c r="CG450">
        <v>100</v>
      </c>
      <c r="CH450" t="s">
        <v>805</v>
      </c>
      <c r="CI450" s="28">
        <f t="shared" si="58"/>
        <v>0.75</v>
      </c>
      <c r="CJ450" s="9" t="s">
        <v>1</v>
      </c>
      <c r="CK450" s="9" t="s">
        <v>1</v>
      </c>
      <c r="CL450" s="4" t="s">
        <v>1</v>
      </c>
      <c r="CM450" t="s">
        <v>847</v>
      </c>
      <c r="CN450" s="4">
        <f>AVERAGE(160,99)</f>
        <v>129.5</v>
      </c>
      <c r="CO450" s="4" t="s">
        <v>1</v>
      </c>
      <c r="CP450" s="4" t="s">
        <v>1</v>
      </c>
      <c r="CQ450" s="4" t="s">
        <v>1</v>
      </c>
      <c r="CR450" s="4" t="s">
        <v>1</v>
      </c>
      <c r="CS450" s="4" t="s">
        <v>1</v>
      </c>
      <c r="CT450" s="4" t="s">
        <v>1</v>
      </c>
      <c r="CU450" s="4" t="s">
        <v>1</v>
      </c>
      <c r="CV450" t="s">
        <v>855</v>
      </c>
      <c r="CW450">
        <v>100</v>
      </c>
      <c r="CX450">
        <v>0</v>
      </c>
      <c r="CY450">
        <v>26</v>
      </c>
      <c r="CZ450" s="26" t="s">
        <v>1358</v>
      </c>
      <c r="DA450" t="s">
        <v>734</v>
      </c>
      <c r="DB450">
        <v>79</v>
      </c>
      <c r="DC450">
        <v>0</v>
      </c>
      <c r="DD450">
        <v>26</v>
      </c>
      <c r="DE450" s="26" t="s">
        <v>1358</v>
      </c>
      <c r="DF450" t="s">
        <v>735</v>
      </c>
      <c r="DG450">
        <v>13</v>
      </c>
      <c r="DH450">
        <v>0</v>
      </c>
      <c r="DI450">
        <v>26</v>
      </c>
      <c r="DJ450" s="26" t="s">
        <v>1358</v>
      </c>
      <c r="DK450" t="s">
        <v>736</v>
      </c>
      <c r="DL450">
        <v>8</v>
      </c>
      <c r="DM450">
        <v>0</v>
      </c>
      <c r="DN450">
        <v>26</v>
      </c>
      <c r="DO450" s="26" t="s">
        <v>1358</v>
      </c>
      <c r="DP450" t="s">
        <v>6</v>
      </c>
      <c r="DQ450" t="s">
        <v>812</v>
      </c>
      <c r="DR450">
        <v>5.3</v>
      </c>
      <c r="DS450">
        <v>0</v>
      </c>
      <c r="DT450">
        <v>26</v>
      </c>
      <c r="DU450" s="26" t="s">
        <v>1358</v>
      </c>
      <c r="EA450" t="s">
        <v>982</v>
      </c>
      <c r="EB450">
        <v>12.4</v>
      </c>
      <c r="EC450">
        <v>0</v>
      </c>
      <c r="ED450">
        <v>26</v>
      </c>
      <c r="EE450" s="26" t="s">
        <v>1358</v>
      </c>
      <c r="EF450" s="26"/>
      <c r="FZ450" t="s">
        <v>806</v>
      </c>
      <c r="GA450">
        <v>392.35</v>
      </c>
      <c r="GE450" s="26" t="s">
        <v>1358</v>
      </c>
      <c r="HA450" s="5" t="s">
        <v>1</v>
      </c>
      <c r="HB450" s="4" t="s">
        <v>1</v>
      </c>
      <c r="HC450" t="s">
        <v>1</v>
      </c>
      <c r="HD450" t="s">
        <v>1</v>
      </c>
      <c r="HE450" t="s">
        <v>1</v>
      </c>
      <c r="HF450" s="5" t="s">
        <v>1</v>
      </c>
      <c r="HG450" s="4" t="s">
        <v>1</v>
      </c>
      <c r="HH450" t="s">
        <v>1</v>
      </c>
      <c r="HI450" t="s">
        <v>1</v>
      </c>
      <c r="HJ450" t="s">
        <v>1</v>
      </c>
      <c r="HK450" t="s">
        <v>815</v>
      </c>
      <c r="HL450" s="4">
        <v>1.55</v>
      </c>
      <c r="HM450">
        <v>0</v>
      </c>
      <c r="HN450">
        <v>26</v>
      </c>
      <c r="HO450" t="s">
        <v>1455</v>
      </c>
      <c r="HP450" s="26" t="s">
        <v>1358</v>
      </c>
      <c r="HZ450" t="s">
        <v>1295</v>
      </c>
      <c r="IA450">
        <v>86</v>
      </c>
      <c r="IB450" s="10" t="s">
        <v>822</v>
      </c>
      <c r="IC450" s="10"/>
      <c r="ID450" s="10"/>
      <c r="IE450" s="10" t="s">
        <v>1</v>
      </c>
      <c r="IF450" s="10" t="s">
        <v>1</v>
      </c>
      <c r="IG450" s="10"/>
      <c r="IH450" s="10"/>
      <c r="II450" s="10"/>
      <c r="IJ450" s="10"/>
      <c r="IK450" s="10"/>
      <c r="IL450" s="10"/>
      <c r="IM450" s="10"/>
      <c r="IN450" s="10"/>
      <c r="IO450" s="10"/>
      <c r="IP450" s="10"/>
      <c r="IQ450" s="10"/>
      <c r="IR450" s="10"/>
      <c r="IS450" t="s">
        <v>1</v>
      </c>
      <c r="IT450" t="s">
        <v>1</v>
      </c>
      <c r="IW450" t="s">
        <v>1</v>
      </c>
      <c r="IX450" t="s">
        <v>1</v>
      </c>
      <c r="IY450" t="s">
        <v>808</v>
      </c>
      <c r="IZ450">
        <v>1522.5</v>
      </c>
      <c r="JA450" t="s">
        <v>1</v>
      </c>
      <c r="JB450" s="3" t="s">
        <v>1</v>
      </c>
      <c r="JC450" t="s">
        <v>965</v>
      </c>
      <c r="JD450" s="4">
        <f t="shared" si="60"/>
        <v>9.5</v>
      </c>
      <c r="JE450" t="s">
        <v>810</v>
      </c>
      <c r="JF450">
        <v>100</v>
      </c>
      <c r="JR450" t="s">
        <v>1066</v>
      </c>
      <c r="JS450">
        <v>117.3</v>
      </c>
      <c r="JU450" t="s">
        <v>1</v>
      </c>
      <c r="JW450" t="s">
        <v>1</v>
      </c>
      <c r="JX450">
        <v>0</v>
      </c>
      <c r="JY450">
        <v>75</v>
      </c>
      <c r="JZ450" t="s">
        <v>800</v>
      </c>
      <c r="KA450" t="s">
        <v>432</v>
      </c>
      <c r="KB450" t="s">
        <v>738</v>
      </c>
      <c r="KC450" t="s">
        <v>1</v>
      </c>
      <c r="KD450" t="s">
        <v>1</v>
      </c>
      <c r="KE450" t="s">
        <v>1</v>
      </c>
      <c r="KF450" t="s">
        <v>1</v>
      </c>
      <c r="KG450" t="s">
        <v>1</v>
      </c>
      <c r="KH450" t="s">
        <v>1</v>
      </c>
      <c r="KI450" t="s">
        <v>1</v>
      </c>
      <c r="KJ450" t="s">
        <v>1</v>
      </c>
      <c r="KK450" t="s">
        <v>1</v>
      </c>
    </row>
    <row r="451" spans="1:297" x14ac:dyDescent="0.2">
      <c r="A451">
        <v>419</v>
      </c>
      <c r="B451" t="s">
        <v>705</v>
      </c>
      <c r="C451" t="s">
        <v>514</v>
      </c>
      <c r="D451" t="s">
        <v>504</v>
      </c>
      <c r="E451">
        <v>73</v>
      </c>
      <c r="F451" t="s">
        <v>505</v>
      </c>
      <c r="G451" t="s">
        <v>1</v>
      </c>
      <c r="H451" s="26" t="s">
        <v>1420</v>
      </c>
      <c r="I451" t="s">
        <v>1</v>
      </c>
      <c r="J451" t="s">
        <v>1</v>
      </c>
      <c r="K451" t="s">
        <v>1</v>
      </c>
      <c r="L451" t="s">
        <v>1</v>
      </c>
      <c r="M451" t="s">
        <v>1</v>
      </c>
      <c r="N451" t="s">
        <v>1</v>
      </c>
      <c r="O451" t="s">
        <v>1</v>
      </c>
      <c r="P451" t="s">
        <v>1</v>
      </c>
      <c r="Q451" t="s">
        <v>1</v>
      </c>
      <c r="R451" t="s">
        <v>1</v>
      </c>
      <c r="S451" t="s">
        <v>1</v>
      </c>
      <c r="T451" t="s">
        <v>1</v>
      </c>
      <c r="U451" t="s">
        <v>1</v>
      </c>
      <c r="V451" t="s">
        <v>1</v>
      </c>
      <c r="W451" t="s">
        <v>1</v>
      </c>
      <c r="X451" t="s">
        <v>1</v>
      </c>
      <c r="Y451" t="s">
        <v>1</v>
      </c>
      <c r="Z451" t="s">
        <v>1</v>
      </c>
      <c r="AA451" t="s">
        <v>1</v>
      </c>
      <c r="AB451" t="s">
        <v>1</v>
      </c>
      <c r="AC451" t="s">
        <v>1</v>
      </c>
      <c r="AD451" t="s">
        <v>1</v>
      </c>
      <c r="AE451" t="s">
        <v>1</v>
      </c>
      <c r="AF451" t="s">
        <v>1</v>
      </c>
      <c r="AG451" t="s">
        <v>1</v>
      </c>
      <c r="AH451" t="s">
        <v>1</v>
      </c>
      <c r="AI451" t="s">
        <v>1</v>
      </c>
      <c r="AJ451" t="s">
        <v>1</v>
      </c>
      <c r="AK451" t="s">
        <v>1</v>
      </c>
      <c r="AL451" t="s">
        <v>1</v>
      </c>
      <c r="AM451" t="s">
        <v>1</v>
      </c>
      <c r="AN451">
        <v>419</v>
      </c>
      <c r="AO451">
        <f t="shared" si="59"/>
        <v>419</v>
      </c>
      <c r="AP451">
        <f t="shared" si="62"/>
        <v>73</v>
      </c>
      <c r="AQ451">
        <f t="shared" si="61"/>
        <v>73</v>
      </c>
      <c r="AR451" s="26" t="s">
        <v>1355</v>
      </c>
      <c r="AS451" s="26" t="s">
        <v>1356</v>
      </c>
      <c r="AT451" t="s">
        <v>713</v>
      </c>
      <c r="AU451" t="s">
        <v>791</v>
      </c>
      <c r="AV451" t="s">
        <v>1</v>
      </c>
      <c r="AW451">
        <v>46.42</v>
      </c>
      <c r="AX451">
        <v>-94.75</v>
      </c>
      <c r="AY451" t="s">
        <v>737</v>
      </c>
      <c r="BA451" s="3">
        <v>4</v>
      </c>
      <c r="BB451" s="3"/>
      <c r="BC451" s="3"/>
      <c r="BD451" s="3"/>
      <c r="BE451" s="3"/>
      <c r="BF451">
        <v>1992</v>
      </c>
      <c r="BG451" s="24" t="s">
        <v>733</v>
      </c>
      <c r="BH451" s="24" t="s">
        <v>733</v>
      </c>
      <c r="BI451" s="24" t="s">
        <v>733</v>
      </c>
      <c r="BJ451" s="24" t="s">
        <v>732</v>
      </c>
      <c r="BK451" s="24" t="s">
        <v>733</v>
      </c>
      <c r="BL451" s="25" t="s">
        <v>733</v>
      </c>
      <c r="BM451" s="24" t="s">
        <v>733</v>
      </c>
      <c r="BN451" s="24" t="s">
        <v>732</v>
      </c>
      <c r="BO451" s="24" t="s">
        <v>733</v>
      </c>
      <c r="BP451" s="24" t="s">
        <v>733</v>
      </c>
      <c r="BQ451" s="24" t="s">
        <v>945</v>
      </c>
      <c r="BR451" s="24" t="s">
        <v>945</v>
      </c>
      <c r="BS451" s="25" t="s">
        <v>934</v>
      </c>
      <c r="BT451" s="24" t="s">
        <v>934</v>
      </c>
      <c r="BU451" s="24" t="s">
        <v>934</v>
      </c>
      <c r="BV451" s="24" t="s">
        <v>934</v>
      </c>
      <c r="BW451" s="24" t="s">
        <v>934</v>
      </c>
      <c r="BX451" s="24" t="s">
        <v>934</v>
      </c>
      <c r="BY451" s="25" t="s">
        <v>945</v>
      </c>
      <c r="BZ451" t="s">
        <v>5</v>
      </c>
      <c r="CB451" t="s">
        <v>1</v>
      </c>
      <c r="CC451" s="4">
        <f>AVERAGE(10.4,6.8)*1000</f>
        <v>8600</v>
      </c>
      <c r="CD451" s="4"/>
      <c r="CE451" s="4"/>
      <c r="CF451" t="s">
        <v>793</v>
      </c>
      <c r="CG451">
        <v>100</v>
      </c>
      <c r="CH451" t="s">
        <v>805</v>
      </c>
      <c r="CI451" s="28">
        <f t="shared" si="58"/>
        <v>0.75</v>
      </c>
      <c r="CJ451" s="9" t="s">
        <v>1</v>
      </c>
      <c r="CK451" s="9" t="s">
        <v>1</v>
      </c>
      <c r="CL451" s="4" t="s">
        <v>1</v>
      </c>
      <c r="CM451" t="s">
        <v>847</v>
      </c>
      <c r="CN451" s="4">
        <f>AVERAGE(213,151)</f>
        <v>182</v>
      </c>
      <c r="CO451" s="4" t="s">
        <v>1</v>
      </c>
      <c r="CP451" s="4" t="s">
        <v>1</v>
      </c>
      <c r="CQ451" s="4" t="s">
        <v>1</v>
      </c>
      <c r="CR451" s="4" t="s">
        <v>1</v>
      </c>
      <c r="CS451" s="4" t="s">
        <v>1</v>
      </c>
      <c r="CT451" s="4" t="s">
        <v>1</v>
      </c>
      <c r="CU451" s="4" t="s">
        <v>1</v>
      </c>
      <c r="CV451" t="s">
        <v>855</v>
      </c>
      <c r="CW451">
        <v>100</v>
      </c>
      <c r="CX451">
        <v>0</v>
      </c>
      <c r="CY451">
        <v>26</v>
      </c>
      <c r="CZ451" s="26" t="s">
        <v>1358</v>
      </c>
      <c r="DA451" t="s">
        <v>734</v>
      </c>
      <c r="DB451">
        <v>79</v>
      </c>
      <c r="DC451">
        <v>0</v>
      </c>
      <c r="DD451">
        <v>26</v>
      </c>
      <c r="DE451" s="26" t="s">
        <v>1358</v>
      </c>
      <c r="DF451" t="s">
        <v>735</v>
      </c>
      <c r="DG451">
        <v>13</v>
      </c>
      <c r="DH451">
        <v>0</v>
      </c>
      <c r="DI451">
        <v>26</v>
      </c>
      <c r="DJ451" s="26" t="s">
        <v>1358</v>
      </c>
      <c r="DK451" t="s">
        <v>736</v>
      </c>
      <c r="DL451">
        <v>8</v>
      </c>
      <c r="DM451">
        <v>0</v>
      </c>
      <c r="DN451">
        <v>26</v>
      </c>
      <c r="DO451" s="26" t="s">
        <v>1358</v>
      </c>
      <c r="DP451" t="s">
        <v>6</v>
      </c>
      <c r="DQ451" t="s">
        <v>812</v>
      </c>
      <c r="DR451">
        <v>5.3</v>
      </c>
      <c r="DS451">
        <v>0</v>
      </c>
      <c r="DT451">
        <v>26</v>
      </c>
      <c r="DU451" s="26" t="s">
        <v>1358</v>
      </c>
      <c r="EA451" t="s">
        <v>982</v>
      </c>
      <c r="EB451">
        <v>12.4</v>
      </c>
      <c r="EC451">
        <v>0</v>
      </c>
      <c r="ED451">
        <v>26</v>
      </c>
      <c r="EE451" s="26" t="s">
        <v>1358</v>
      </c>
      <c r="EF451" s="26"/>
      <c r="FZ451" t="s">
        <v>806</v>
      </c>
      <c r="GA451">
        <v>392.35</v>
      </c>
      <c r="GE451" s="26" t="s">
        <v>1358</v>
      </c>
      <c r="HA451" s="5" t="s">
        <v>1</v>
      </c>
      <c r="HB451" s="4" t="s">
        <v>1</v>
      </c>
      <c r="HC451" t="s">
        <v>1</v>
      </c>
      <c r="HD451" t="s">
        <v>1</v>
      </c>
      <c r="HE451" t="s">
        <v>1</v>
      </c>
      <c r="HF451" s="5" t="s">
        <v>1</v>
      </c>
      <c r="HG451" s="4" t="s">
        <v>1</v>
      </c>
      <c r="HH451" t="s">
        <v>1</v>
      </c>
      <c r="HI451" t="s">
        <v>1</v>
      </c>
      <c r="HJ451" t="s">
        <v>1</v>
      </c>
      <c r="HK451" t="s">
        <v>815</v>
      </c>
      <c r="HL451" s="4">
        <v>1.55</v>
      </c>
      <c r="HM451">
        <v>0</v>
      </c>
      <c r="HN451">
        <v>26</v>
      </c>
      <c r="HO451" t="s">
        <v>1455</v>
      </c>
      <c r="HP451" s="26" t="s">
        <v>1358</v>
      </c>
      <c r="HZ451" t="s">
        <v>1295</v>
      </c>
      <c r="IA451">
        <v>176</v>
      </c>
      <c r="IB451" s="10" t="s">
        <v>822</v>
      </c>
      <c r="IC451" s="10"/>
      <c r="ID451" s="10"/>
      <c r="IE451" s="10" t="s">
        <v>1</v>
      </c>
      <c r="IF451" s="10" t="s">
        <v>1</v>
      </c>
      <c r="IG451" s="10"/>
      <c r="IH451" s="10"/>
      <c r="II451" s="10"/>
      <c r="IJ451" s="10"/>
      <c r="IK451" s="10"/>
      <c r="IL451" s="10"/>
      <c r="IM451" s="10"/>
      <c r="IN451" s="10"/>
      <c r="IO451" s="10"/>
      <c r="IP451" s="10"/>
      <c r="IQ451" s="10"/>
      <c r="IR451" s="10"/>
      <c r="IS451" t="s">
        <v>1</v>
      </c>
      <c r="IT451" t="s">
        <v>1</v>
      </c>
      <c r="IW451" t="s">
        <v>1</v>
      </c>
      <c r="IX451" t="s">
        <v>1</v>
      </c>
      <c r="IY451" t="s">
        <v>808</v>
      </c>
      <c r="IZ451">
        <v>1522.5</v>
      </c>
      <c r="JA451" t="s">
        <v>1</v>
      </c>
      <c r="JB451" s="3" t="s">
        <v>1</v>
      </c>
      <c r="JC451" t="s">
        <v>965</v>
      </c>
      <c r="JD451" s="4">
        <f t="shared" si="60"/>
        <v>9.5</v>
      </c>
      <c r="JE451" t="s">
        <v>810</v>
      </c>
      <c r="JF451">
        <v>100</v>
      </c>
      <c r="JR451" t="s">
        <v>1066</v>
      </c>
      <c r="JS451">
        <v>351.9</v>
      </c>
      <c r="JU451" t="s">
        <v>1</v>
      </c>
      <c r="JW451" t="s">
        <v>1</v>
      </c>
      <c r="JX451">
        <v>0</v>
      </c>
      <c r="JY451">
        <v>75</v>
      </c>
      <c r="JZ451" t="s">
        <v>800</v>
      </c>
      <c r="KA451" t="s">
        <v>432</v>
      </c>
      <c r="KB451" t="s">
        <v>738</v>
      </c>
      <c r="KC451" t="s">
        <v>1</v>
      </c>
      <c r="KD451" t="s">
        <v>1</v>
      </c>
      <c r="KE451" t="s">
        <v>1</v>
      </c>
      <c r="KF451" t="s">
        <v>1</v>
      </c>
      <c r="KG451" t="s">
        <v>1</v>
      </c>
      <c r="KH451" t="s">
        <v>1</v>
      </c>
      <c r="KI451" t="s">
        <v>1</v>
      </c>
      <c r="KJ451" t="s">
        <v>1</v>
      </c>
      <c r="KK451" t="s">
        <v>1</v>
      </c>
    </row>
    <row r="452" spans="1:297" x14ac:dyDescent="0.2">
      <c r="A452">
        <v>420</v>
      </c>
      <c r="B452" t="s">
        <v>705</v>
      </c>
      <c r="C452" t="s">
        <v>515</v>
      </c>
      <c r="D452" t="s">
        <v>504</v>
      </c>
      <c r="E452">
        <v>73</v>
      </c>
      <c r="F452" t="s">
        <v>505</v>
      </c>
      <c r="G452" t="s">
        <v>1</v>
      </c>
      <c r="H452" s="26" t="s">
        <v>1420</v>
      </c>
      <c r="I452" t="s">
        <v>1</v>
      </c>
      <c r="J452" t="s">
        <v>1</v>
      </c>
      <c r="K452" t="s">
        <v>1</v>
      </c>
      <c r="L452" t="s">
        <v>1</v>
      </c>
      <c r="M452" t="s">
        <v>1</v>
      </c>
      <c r="N452" t="s">
        <v>1</v>
      </c>
      <c r="O452" t="s">
        <v>1</v>
      </c>
      <c r="P452" t="s">
        <v>1</v>
      </c>
      <c r="Q452" t="s">
        <v>1</v>
      </c>
      <c r="R452" t="s">
        <v>1</v>
      </c>
      <c r="S452" t="s">
        <v>1</v>
      </c>
      <c r="T452" t="s">
        <v>1</v>
      </c>
      <c r="U452" t="s">
        <v>1</v>
      </c>
      <c r="V452" t="s">
        <v>1</v>
      </c>
      <c r="W452" t="s">
        <v>1</v>
      </c>
      <c r="X452" t="s">
        <v>1</v>
      </c>
      <c r="Y452" t="s">
        <v>1</v>
      </c>
      <c r="Z452" t="s">
        <v>1</v>
      </c>
      <c r="AA452" t="s">
        <v>1</v>
      </c>
      <c r="AB452" t="s">
        <v>1</v>
      </c>
      <c r="AC452" t="s">
        <v>1</v>
      </c>
      <c r="AD452" t="s">
        <v>1</v>
      </c>
      <c r="AE452" t="s">
        <v>1</v>
      </c>
      <c r="AF452" t="s">
        <v>1</v>
      </c>
      <c r="AG452" t="s">
        <v>1</v>
      </c>
      <c r="AH452" t="s">
        <v>1</v>
      </c>
      <c r="AI452" t="s">
        <v>1</v>
      </c>
      <c r="AJ452" t="s">
        <v>1</v>
      </c>
      <c r="AK452" t="s">
        <v>1</v>
      </c>
      <c r="AL452" t="s">
        <v>1</v>
      </c>
      <c r="AM452" t="s">
        <v>1</v>
      </c>
      <c r="AN452">
        <v>420</v>
      </c>
      <c r="AO452">
        <f t="shared" si="59"/>
        <v>420</v>
      </c>
      <c r="AP452">
        <f t="shared" si="62"/>
        <v>73</v>
      </c>
      <c r="AQ452">
        <f t="shared" si="61"/>
        <v>73</v>
      </c>
      <c r="AR452" s="26" t="s">
        <v>1355</v>
      </c>
      <c r="AS452" s="26" t="s">
        <v>1356</v>
      </c>
      <c r="AT452" t="s">
        <v>713</v>
      </c>
      <c r="AU452" t="s">
        <v>791</v>
      </c>
      <c r="AV452" t="s">
        <v>1</v>
      </c>
      <c r="AW452">
        <v>46.42</v>
      </c>
      <c r="AX452">
        <v>-94.75</v>
      </c>
      <c r="AY452" t="s">
        <v>737</v>
      </c>
      <c r="BA452" s="3">
        <v>4</v>
      </c>
      <c r="BB452" s="3"/>
      <c r="BC452" s="3"/>
      <c r="BD452" s="3"/>
      <c r="BE452" s="3"/>
      <c r="BF452">
        <v>1992</v>
      </c>
      <c r="BG452" s="24" t="s">
        <v>733</v>
      </c>
      <c r="BH452" s="24" t="s">
        <v>733</v>
      </c>
      <c r="BI452" s="24" t="s">
        <v>733</v>
      </c>
      <c r="BJ452" s="24" t="s">
        <v>732</v>
      </c>
      <c r="BK452" s="24" t="s">
        <v>733</v>
      </c>
      <c r="BL452" s="25" t="s">
        <v>733</v>
      </c>
      <c r="BM452" s="24" t="s">
        <v>733</v>
      </c>
      <c r="BN452" s="24" t="s">
        <v>732</v>
      </c>
      <c r="BO452" s="24" t="s">
        <v>733</v>
      </c>
      <c r="BP452" s="24" t="s">
        <v>733</v>
      </c>
      <c r="BQ452" s="24" t="s">
        <v>945</v>
      </c>
      <c r="BR452" s="24" t="s">
        <v>945</v>
      </c>
      <c r="BS452" s="25" t="s">
        <v>934</v>
      </c>
      <c r="BT452" s="24" t="s">
        <v>934</v>
      </c>
      <c r="BU452" s="24" t="s">
        <v>934</v>
      </c>
      <c r="BV452" s="24" t="s">
        <v>934</v>
      </c>
      <c r="BW452" s="24" t="s">
        <v>934</v>
      </c>
      <c r="BX452" s="24" t="s">
        <v>934</v>
      </c>
      <c r="BY452" s="25" t="s">
        <v>945</v>
      </c>
      <c r="BZ452" t="s">
        <v>5</v>
      </c>
      <c r="CB452" t="s">
        <v>1</v>
      </c>
      <c r="CC452" s="4">
        <f>AVERAGE(9.4,6.7)*1000</f>
        <v>8050.0000000000009</v>
      </c>
      <c r="CD452" s="4"/>
      <c r="CE452" s="4"/>
      <c r="CF452" t="s">
        <v>793</v>
      </c>
      <c r="CG452">
        <v>100</v>
      </c>
      <c r="CH452" t="s">
        <v>805</v>
      </c>
      <c r="CI452" s="28">
        <f t="shared" si="58"/>
        <v>0.75</v>
      </c>
      <c r="CJ452" s="9" t="s">
        <v>1</v>
      </c>
      <c r="CK452" s="9" t="s">
        <v>1</v>
      </c>
      <c r="CL452" s="4" t="s">
        <v>1</v>
      </c>
      <c r="CM452" t="s">
        <v>847</v>
      </c>
      <c r="CN452" s="4">
        <f>AVERAGE(196,168)</f>
        <v>182</v>
      </c>
      <c r="CO452" s="4" t="s">
        <v>1</v>
      </c>
      <c r="CP452" s="4" t="s">
        <v>1</v>
      </c>
      <c r="CQ452" s="4" t="s">
        <v>1</v>
      </c>
      <c r="CR452" s="4" t="s">
        <v>1</v>
      </c>
      <c r="CS452" s="4" t="s">
        <v>1</v>
      </c>
      <c r="CT452" s="4" t="s">
        <v>1</v>
      </c>
      <c r="CU452" s="4" t="s">
        <v>1</v>
      </c>
      <c r="CV452" t="s">
        <v>855</v>
      </c>
      <c r="CW452">
        <v>100</v>
      </c>
      <c r="CX452">
        <v>0</v>
      </c>
      <c r="CY452">
        <v>26</v>
      </c>
      <c r="CZ452" s="26" t="s">
        <v>1358</v>
      </c>
      <c r="DA452" t="s">
        <v>734</v>
      </c>
      <c r="DB452">
        <v>79</v>
      </c>
      <c r="DC452">
        <v>0</v>
      </c>
      <c r="DD452">
        <v>26</v>
      </c>
      <c r="DE452" s="26" t="s">
        <v>1358</v>
      </c>
      <c r="DF452" t="s">
        <v>735</v>
      </c>
      <c r="DG452">
        <v>13</v>
      </c>
      <c r="DH452">
        <v>0</v>
      </c>
      <c r="DI452">
        <v>26</v>
      </c>
      <c r="DJ452" s="26" t="s">
        <v>1358</v>
      </c>
      <c r="DK452" t="s">
        <v>736</v>
      </c>
      <c r="DL452">
        <v>8</v>
      </c>
      <c r="DM452">
        <v>0</v>
      </c>
      <c r="DN452">
        <v>26</v>
      </c>
      <c r="DO452" s="26" t="s">
        <v>1358</v>
      </c>
      <c r="DP452" t="s">
        <v>6</v>
      </c>
      <c r="DQ452" t="s">
        <v>812</v>
      </c>
      <c r="DR452">
        <v>5.3</v>
      </c>
      <c r="DS452">
        <v>0</v>
      </c>
      <c r="DT452">
        <v>26</v>
      </c>
      <c r="DU452" s="26" t="s">
        <v>1358</v>
      </c>
      <c r="EA452" t="s">
        <v>982</v>
      </c>
      <c r="EB452">
        <v>12.4</v>
      </c>
      <c r="EC452">
        <v>0</v>
      </c>
      <c r="ED452">
        <v>26</v>
      </c>
      <c r="EE452" s="26" t="s">
        <v>1358</v>
      </c>
      <c r="EF452" s="26"/>
      <c r="FZ452" t="s">
        <v>806</v>
      </c>
      <c r="GA452">
        <v>392.35</v>
      </c>
      <c r="GE452" s="26" t="s">
        <v>1358</v>
      </c>
      <c r="HA452" s="5" t="s">
        <v>1</v>
      </c>
      <c r="HB452" s="4" t="s">
        <v>1</v>
      </c>
      <c r="HC452" t="s">
        <v>1</v>
      </c>
      <c r="HD452" t="s">
        <v>1</v>
      </c>
      <c r="HE452" t="s">
        <v>1</v>
      </c>
      <c r="HF452" s="5" t="s">
        <v>1</v>
      </c>
      <c r="HG452" s="4" t="s">
        <v>1</v>
      </c>
      <c r="HH452" t="s">
        <v>1</v>
      </c>
      <c r="HI452" t="s">
        <v>1</v>
      </c>
      <c r="HJ452" t="s">
        <v>1</v>
      </c>
      <c r="HK452" t="s">
        <v>815</v>
      </c>
      <c r="HL452" s="4">
        <v>1.55</v>
      </c>
      <c r="HM452">
        <v>0</v>
      </c>
      <c r="HN452">
        <v>26</v>
      </c>
      <c r="HO452" t="s">
        <v>1455</v>
      </c>
      <c r="HP452" s="26" t="s">
        <v>1358</v>
      </c>
      <c r="HZ452" t="s">
        <v>1295</v>
      </c>
      <c r="IA452">
        <v>266</v>
      </c>
      <c r="IB452" s="10" t="s">
        <v>822</v>
      </c>
      <c r="IC452" s="10"/>
      <c r="ID452" s="10"/>
      <c r="IE452" s="10" t="s">
        <v>1</v>
      </c>
      <c r="IF452" s="10" t="s">
        <v>1</v>
      </c>
      <c r="IG452" s="10"/>
      <c r="IH452" s="10"/>
      <c r="II452" s="10"/>
      <c r="IJ452" s="10"/>
      <c r="IK452" s="10"/>
      <c r="IL452" s="10"/>
      <c r="IM452" s="10"/>
      <c r="IN452" s="10"/>
      <c r="IO452" s="10"/>
      <c r="IP452" s="10"/>
      <c r="IQ452" s="10"/>
      <c r="IR452" s="10"/>
      <c r="IS452" t="s">
        <v>1</v>
      </c>
      <c r="IT452" t="s">
        <v>1</v>
      </c>
      <c r="IW452" t="s">
        <v>1</v>
      </c>
      <c r="IX452" t="s">
        <v>1</v>
      </c>
      <c r="IY452" t="s">
        <v>808</v>
      </c>
      <c r="IZ452">
        <v>1522.5</v>
      </c>
      <c r="JA452" t="s">
        <v>1</v>
      </c>
      <c r="JB452" s="3" t="s">
        <v>1</v>
      </c>
      <c r="JC452" t="s">
        <v>965</v>
      </c>
      <c r="JD452" s="4">
        <f t="shared" si="60"/>
        <v>9.5</v>
      </c>
      <c r="JE452" t="s">
        <v>810</v>
      </c>
      <c r="JF452">
        <v>100</v>
      </c>
      <c r="JR452" t="s">
        <v>1066</v>
      </c>
      <c r="JS452">
        <v>221.3</v>
      </c>
      <c r="JU452" t="s">
        <v>1</v>
      </c>
      <c r="JW452" t="s">
        <v>1</v>
      </c>
      <c r="JX452">
        <v>0</v>
      </c>
      <c r="JY452">
        <v>75</v>
      </c>
      <c r="JZ452" t="s">
        <v>800</v>
      </c>
      <c r="KA452" t="s">
        <v>432</v>
      </c>
      <c r="KB452" t="s">
        <v>738</v>
      </c>
      <c r="KC452" t="s">
        <v>1</v>
      </c>
      <c r="KD452" t="s">
        <v>1</v>
      </c>
      <c r="KE452" t="s">
        <v>1</v>
      </c>
      <c r="KF452" t="s">
        <v>1</v>
      </c>
      <c r="KG452" t="s">
        <v>1</v>
      </c>
      <c r="KH452" t="s">
        <v>1</v>
      </c>
      <c r="KI452" t="s">
        <v>1</v>
      </c>
      <c r="KJ452" t="s">
        <v>1</v>
      </c>
      <c r="KK452" t="s">
        <v>1</v>
      </c>
    </row>
    <row r="453" spans="1:297" x14ac:dyDescent="0.2">
      <c r="A453">
        <v>421</v>
      </c>
      <c r="B453" t="s">
        <v>705</v>
      </c>
      <c r="C453" t="s">
        <v>516</v>
      </c>
      <c r="D453" t="s">
        <v>504</v>
      </c>
      <c r="E453">
        <v>73</v>
      </c>
      <c r="F453" t="s">
        <v>505</v>
      </c>
      <c r="G453" t="s">
        <v>1</v>
      </c>
      <c r="H453" s="26" t="s">
        <v>1420</v>
      </c>
      <c r="I453" t="s">
        <v>1</v>
      </c>
      <c r="J453" t="s">
        <v>1</v>
      </c>
      <c r="K453" t="s">
        <v>1</v>
      </c>
      <c r="L453" t="s">
        <v>1</v>
      </c>
      <c r="M453" t="s">
        <v>1</v>
      </c>
      <c r="N453" t="s">
        <v>1</v>
      </c>
      <c r="O453" t="s">
        <v>1</v>
      </c>
      <c r="P453" t="s">
        <v>1</v>
      </c>
      <c r="Q453" t="s">
        <v>1</v>
      </c>
      <c r="R453" t="s">
        <v>1</v>
      </c>
      <c r="S453" t="s">
        <v>1</v>
      </c>
      <c r="T453" t="s">
        <v>1</v>
      </c>
      <c r="U453" t="s">
        <v>1</v>
      </c>
      <c r="V453" t="s">
        <v>1</v>
      </c>
      <c r="W453" t="s">
        <v>1</v>
      </c>
      <c r="X453" t="s">
        <v>1</v>
      </c>
      <c r="Y453" t="s">
        <v>1</v>
      </c>
      <c r="Z453" t="s">
        <v>1</v>
      </c>
      <c r="AA453" t="s">
        <v>1</v>
      </c>
      <c r="AB453" t="s">
        <v>1</v>
      </c>
      <c r="AC453" t="s">
        <v>1</v>
      </c>
      <c r="AD453" t="s">
        <v>1</v>
      </c>
      <c r="AE453" t="s">
        <v>1</v>
      </c>
      <c r="AF453" t="s">
        <v>1</v>
      </c>
      <c r="AG453" t="s">
        <v>1</v>
      </c>
      <c r="AH453" t="s">
        <v>1</v>
      </c>
      <c r="AI453" t="s">
        <v>1</v>
      </c>
      <c r="AJ453" t="s">
        <v>1</v>
      </c>
      <c r="AK453" t="s">
        <v>1</v>
      </c>
      <c r="AL453" t="s">
        <v>1</v>
      </c>
      <c r="AM453" t="s">
        <v>1</v>
      </c>
      <c r="AN453">
        <v>421</v>
      </c>
      <c r="AO453">
        <f t="shared" si="59"/>
        <v>421</v>
      </c>
      <c r="AP453">
        <f t="shared" si="62"/>
        <v>73</v>
      </c>
      <c r="AQ453">
        <f t="shared" si="61"/>
        <v>73</v>
      </c>
      <c r="AR453" s="26" t="s">
        <v>1355</v>
      </c>
      <c r="AS453" s="26" t="s">
        <v>1356</v>
      </c>
      <c r="AT453" t="s">
        <v>713</v>
      </c>
      <c r="AU453" t="s">
        <v>791</v>
      </c>
      <c r="AV453" t="s">
        <v>1</v>
      </c>
      <c r="AW453">
        <v>46.42</v>
      </c>
      <c r="AX453">
        <v>-94.75</v>
      </c>
      <c r="AY453" t="s">
        <v>737</v>
      </c>
      <c r="BA453" s="3">
        <v>4</v>
      </c>
      <c r="BB453" s="3"/>
      <c r="BC453" s="3"/>
      <c r="BD453" s="3"/>
      <c r="BE453" s="3"/>
      <c r="BF453">
        <v>1992</v>
      </c>
      <c r="BG453" s="24" t="s">
        <v>733</v>
      </c>
      <c r="BH453" s="24" t="s">
        <v>733</v>
      </c>
      <c r="BI453" s="24" t="s">
        <v>733</v>
      </c>
      <c r="BJ453" s="24" t="s">
        <v>732</v>
      </c>
      <c r="BK453" s="24" t="s">
        <v>733</v>
      </c>
      <c r="BL453" s="25" t="s">
        <v>733</v>
      </c>
      <c r="BM453" s="24" t="s">
        <v>733</v>
      </c>
      <c r="BN453" s="24" t="s">
        <v>732</v>
      </c>
      <c r="BO453" s="24" t="s">
        <v>733</v>
      </c>
      <c r="BP453" s="24" t="s">
        <v>733</v>
      </c>
      <c r="BQ453" s="24" t="s">
        <v>945</v>
      </c>
      <c r="BR453" s="24" t="s">
        <v>945</v>
      </c>
      <c r="BS453" s="25" t="s">
        <v>934</v>
      </c>
      <c r="BT453" s="24" t="s">
        <v>934</v>
      </c>
      <c r="BU453" s="24" t="s">
        <v>934</v>
      </c>
      <c r="BV453" s="24" t="s">
        <v>934</v>
      </c>
      <c r="BW453" s="24" t="s">
        <v>934</v>
      </c>
      <c r="BX453" s="24" t="s">
        <v>934</v>
      </c>
      <c r="BY453" s="25" t="s">
        <v>945</v>
      </c>
      <c r="BZ453" t="s">
        <v>5</v>
      </c>
      <c r="CB453" t="s">
        <v>1</v>
      </c>
      <c r="CC453" s="4">
        <f>AVERAGE(10.2,4.8)*1000</f>
        <v>7500</v>
      </c>
      <c r="CD453" s="4"/>
      <c r="CE453" s="4"/>
      <c r="CF453" t="s">
        <v>793</v>
      </c>
      <c r="CG453">
        <v>100</v>
      </c>
      <c r="CH453" t="s">
        <v>805</v>
      </c>
      <c r="CI453" s="28">
        <f t="shared" si="58"/>
        <v>0.75</v>
      </c>
      <c r="CJ453" s="9" t="s">
        <v>1</v>
      </c>
      <c r="CK453" s="9" t="s">
        <v>1</v>
      </c>
      <c r="CL453" s="4" t="s">
        <v>1</v>
      </c>
      <c r="CM453" t="s">
        <v>847</v>
      </c>
      <c r="CN453" s="4">
        <f>AVERAGE(211,86)</f>
        <v>148.5</v>
      </c>
      <c r="CO453" s="4" t="s">
        <v>1</v>
      </c>
      <c r="CP453" s="4" t="s">
        <v>1</v>
      </c>
      <c r="CQ453" s="4" t="s">
        <v>1</v>
      </c>
      <c r="CR453" s="4" t="s">
        <v>1</v>
      </c>
      <c r="CS453" s="4" t="s">
        <v>1</v>
      </c>
      <c r="CT453" s="4" t="s">
        <v>1</v>
      </c>
      <c r="CU453" s="4" t="s">
        <v>1</v>
      </c>
      <c r="CV453" t="s">
        <v>855</v>
      </c>
      <c r="CW453">
        <v>100</v>
      </c>
      <c r="CX453">
        <v>0</v>
      </c>
      <c r="CY453">
        <v>26</v>
      </c>
      <c r="CZ453" s="26" t="s">
        <v>1358</v>
      </c>
      <c r="DA453" t="s">
        <v>734</v>
      </c>
      <c r="DB453">
        <v>79</v>
      </c>
      <c r="DC453">
        <v>0</v>
      </c>
      <c r="DD453">
        <v>26</v>
      </c>
      <c r="DE453" s="26" t="s">
        <v>1358</v>
      </c>
      <c r="DF453" t="s">
        <v>735</v>
      </c>
      <c r="DG453">
        <v>13</v>
      </c>
      <c r="DH453">
        <v>0</v>
      </c>
      <c r="DI453">
        <v>26</v>
      </c>
      <c r="DJ453" s="26" t="s">
        <v>1358</v>
      </c>
      <c r="DK453" t="s">
        <v>736</v>
      </c>
      <c r="DL453">
        <v>8</v>
      </c>
      <c r="DM453">
        <v>0</v>
      </c>
      <c r="DN453">
        <v>26</v>
      </c>
      <c r="DO453" s="26" t="s">
        <v>1358</v>
      </c>
      <c r="DP453" t="s">
        <v>6</v>
      </c>
      <c r="DQ453" t="s">
        <v>812</v>
      </c>
      <c r="DR453">
        <v>5.3</v>
      </c>
      <c r="DS453">
        <v>0</v>
      </c>
      <c r="DT453">
        <v>26</v>
      </c>
      <c r="DU453" s="26" t="s">
        <v>1358</v>
      </c>
      <c r="EA453" t="s">
        <v>982</v>
      </c>
      <c r="EB453">
        <v>12.4</v>
      </c>
      <c r="EC453">
        <v>0</v>
      </c>
      <c r="ED453">
        <v>26</v>
      </c>
      <c r="EE453" s="26" t="s">
        <v>1358</v>
      </c>
      <c r="EF453" s="26"/>
      <c r="FZ453" t="s">
        <v>806</v>
      </c>
      <c r="GA453">
        <v>392.35</v>
      </c>
      <c r="GE453" s="26" t="s">
        <v>1358</v>
      </c>
      <c r="HA453" s="5" t="s">
        <v>1</v>
      </c>
      <c r="HB453" s="4" t="s">
        <v>1</v>
      </c>
      <c r="HC453" t="s">
        <v>1</v>
      </c>
      <c r="HD453" t="s">
        <v>1</v>
      </c>
      <c r="HE453" t="s">
        <v>1</v>
      </c>
      <c r="HF453" s="5" t="s">
        <v>1</v>
      </c>
      <c r="HG453" s="4" t="s">
        <v>1</v>
      </c>
      <c r="HH453" t="s">
        <v>1</v>
      </c>
      <c r="HI453" t="s">
        <v>1</v>
      </c>
      <c r="HJ453" t="s">
        <v>1</v>
      </c>
      <c r="HK453" t="s">
        <v>815</v>
      </c>
      <c r="HL453" s="4">
        <v>1.55</v>
      </c>
      <c r="HM453">
        <v>0</v>
      </c>
      <c r="HN453">
        <v>26</v>
      </c>
      <c r="HO453" t="s">
        <v>1455</v>
      </c>
      <c r="HP453" s="26" t="s">
        <v>1358</v>
      </c>
      <c r="HZ453" t="s">
        <v>969</v>
      </c>
      <c r="IA453">
        <v>16</v>
      </c>
      <c r="IB453" s="10" t="s">
        <v>1</v>
      </c>
      <c r="IC453" s="10"/>
      <c r="ID453" s="10"/>
      <c r="IE453" s="10" t="s">
        <v>1</v>
      </c>
      <c r="IF453" s="10" t="s">
        <v>1</v>
      </c>
      <c r="IG453" s="10"/>
      <c r="IH453" s="10"/>
      <c r="II453" s="10"/>
      <c r="IJ453" s="10"/>
      <c r="IK453" s="10"/>
      <c r="IL453" s="10"/>
      <c r="IM453" s="10"/>
      <c r="IN453" s="10"/>
      <c r="IO453" s="10"/>
      <c r="IP453" s="10"/>
      <c r="IQ453" s="10"/>
      <c r="IR453" s="10"/>
      <c r="IS453" t="s">
        <v>978</v>
      </c>
      <c r="IT453">
        <v>218</v>
      </c>
      <c r="IW453" t="s">
        <v>1</v>
      </c>
      <c r="IX453" t="s">
        <v>1</v>
      </c>
      <c r="IY453" t="s">
        <v>808</v>
      </c>
      <c r="IZ453">
        <v>1522.5</v>
      </c>
      <c r="JA453" t="s">
        <v>1</v>
      </c>
      <c r="JB453" s="3" t="s">
        <v>1</v>
      </c>
      <c r="JC453" t="s">
        <v>965</v>
      </c>
      <c r="JD453" s="4">
        <f t="shared" si="60"/>
        <v>9.5</v>
      </c>
      <c r="JE453" t="s">
        <v>810</v>
      </c>
      <c r="JF453">
        <v>100</v>
      </c>
      <c r="JR453" t="s">
        <v>1066</v>
      </c>
      <c r="JS453">
        <v>190.3</v>
      </c>
      <c r="JU453" t="s">
        <v>1</v>
      </c>
      <c r="JW453" t="s">
        <v>1</v>
      </c>
      <c r="JX453">
        <v>0</v>
      </c>
      <c r="JY453">
        <v>75</v>
      </c>
      <c r="JZ453" t="s">
        <v>800</v>
      </c>
      <c r="KA453" t="s">
        <v>432</v>
      </c>
      <c r="KB453" t="s">
        <v>738</v>
      </c>
      <c r="KC453" t="s">
        <v>1</v>
      </c>
      <c r="KD453" t="s">
        <v>1</v>
      </c>
      <c r="KE453" t="s">
        <v>1</v>
      </c>
      <c r="KF453" t="s">
        <v>1</v>
      </c>
      <c r="KG453" t="s">
        <v>1</v>
      </c>
      <c r="KH453" t="s">
        <v>1</v>
      </c>
      <c r="KI453" t="s">
        <v>1</v>
      </c>
      <c r="KJ453" t="s">
        <v>1</v>
      </c>
      <c r="KK453" t="s">
        <v>1</v>
      </c>
    </row>
    <row r="454" spans="1:297" x14ac:dyDescent="0.2">
      <c r="A454">
        <v>422</v>
      </c>
      <c r="B454" t="s">
        <v>705</v>
      </c>
      <c r="C454" t="s">
        <v>517</v>
      </c>
      <c r="D454" t="s">
        <v>504</v>
      </c>
      <c r="E454">
        <v>73</v>
      </c>
      <c r="F454" t="s">
        <v>505</v>
      </c>
      <c r="G454" t="s">
        <v>1</v>
      </c>
      <c r="H454" s="26" t="s">
        <v>1420</v>
      </c>
      <c r="I454" t="s">
        <v>1</v>
      </c>
      <c r="J454" t="s">
        <v>1</v>
      </c>
      <c r="K454" t="s">
        <v>1</v>
      </c>
      <c r="L454" t="s">
        <v>1</v>
      </c>
      <c r="M454" t="s">
        <v>1</v>
      </c>
      <c r="N454" t="s">
        <v>1</v>
      </c>
      <c r="O454" t="s">
        <v>1</v>
      </c>
      <c r="P454" t="s">
        <v>1</v>
      </c>
      <c r="Q454" t="s">
        <v>1</v>
      </c>
      <c r="R454" t="s">
        <v>1</v>
      </c>
      <c r="S454" t="s">
        <v>1</v>
      </c>
      <c r="T454" t="s">
        <v>1</v>
      </c>
      <c r="U454" t="s">
        <v>1</v>
      </c>
      <c r="V454" t="s">
        <v>1</v>
      </c>
      <c r="W454" t="s">
        <v>1</v>
      </c>
      <c r="X454" t="s">
        <v>1</v>
      </c>
      <c r="Y454" t="s">
        <v>1</v>
      </c>
      <c r="Z454" t="s">
        <v>1</v>
      </c>
      <c r="AA454" t="s">
        <v>1</v>
      </c>
      <c r="AB454" t="s">
        <v>1</v>
      </c>
      <c r="AC454" t="s">
        <v>1</v>
      </c>
      <c r="AD454" t="s">
        <v>1</v>
      </c>
      <c r="AE454" t="s">
        <v>1</v>
      </c>
      <c r="AF454" t="s">
        <v>1</v>
      </c>
      <c r="AG454" t="s">
        <v>1</v>
      </c>
      <c r="AH454" t="s">
        <v>1</v>
      </c>
      <c r="AI454" t="s">
        <v>1</v>
      </c>
      <c r="AJ454" t="s">
        <v>1</v>
      </c>
      <c r="AK454" t="s">
        <v>1</v>
      </c>
      <c r="AL454" t="s">
        <v>1</v>
      </c>
      <c r="AM454" t="s">
        <v>1</v>
      </c>
      <c r="AN454">
        <v>422</v>
      </c>
      <c r="AO454">
        <f t="shared" si="59"/>
        <v>422</v>
      </c>
      <c r="AP454">
        <f t="shared" si="62"/>
        <v>73</v>
      </c>
      <c r="AQ454">
        <f t="shared" si="61"/>
        <v>73</v>
      </c>
      <c r="AR454" s="26" t="s">
        <v>1355</v>
      </c>
      <c r="AS454" s="26" t="s">
        <v>1356</v>
      </c>
      <c r="AT454" t="s">
        <v>713</v>
      </c>
      <c r="AU454" t="s">
        <v>791</v>
      </c>
      <c r="AV454" t="s">
        <v>1</v>
      </c>
      <c r="AW454">
        <v>46.42</v>
      </c>
      <c r="AX454">
        <v>-94.75</v>
      </c>
      <c r="AY454" t="s">
        <v>737</v>
      </c>
      <c r="BA454" s="3">
        <v>4</v>
      </c>
      <c r="BB454" s="3"/>
      <c r="BC454" s="3"/>
      <c r="BD454" s="3"/>
      <c r="BE454" s="3"/>
      <c r="BF454">
        <v>1992</v>
      </c>
      <c r="BG454" s="24" t="s">
        <v>733</v>
      </c>
      <c r="BH454" s="24" t="s">
        <v>733</v>
      </c>
      <c r="BI454" s="24" t="s">
        <v>733</v>
      </c>
      <c r="BJ454" s="24" t="s">
        <v>732</v>
      </c>
      <c r="BK454" s="24" t="s">
        <v>733</v>
      </c>
      <c r="BL454" s="25" t="s">
        <v>733</v>
      </c>
      <c r="BM454" s="24" t="s">
        <v>733</v>
      </c>
      <c r="BN454" s="24" t="s">
        <v>732</v>
      </c>
      <c r="BO454" s="24" t="s">
        <v>733</v>
      </c>
      <c r="BP454" s="24" t="s">
        <v>733</v>
      </c>
      <c r="BQ454" s="24" t="s">
        <v>945</v>
      </c>
      <c r="BR454" s="24" t="s">
        <v>945</v>
      </c>
      <c r="BS454" s="25" t="s">
        <v>934</v>
      </c>
      <c r="BT454" s="24" t="s">
        <v>934</v>
      </c>
      <c r="BU454" s="24" t="s">
        <v>934</v>
      </c>
      <c r="BV454" s="24" t="s">
        <v>934</v>
      </c>
      <c r="BW454" s="24" t="s">
        <v>934</v>
      </c>
      <c r="BX454" s="24" t="s">
        <v>934</v>
      </c>
      <c r="BY454" s="25" t="s">
        <v>945</v>
      </c>
      <c r="BZ454" t="s">
        <v>5</v>
      </c>
      <c r="CB454" t="s">
        <v>1</v>
      </c>
      <c r="CC454" s="4">
        <f>AVERAGE(10.5,6.8)*1000</f>
        <v>8650</v>
      </c>
      <c r="CD454" s="4"/>
      <c r="CE454" s="4"/>
      <c r="CF454" t="s">
        <v>793</v>
      </c>
      <c r="CG454">
        <v>100</v>
      </c>
      <c r="CH454" t="s">
        <v>805</v>
      </c>
      <c r="CI454" s="28">
        <f>AVERAGE(0.6,0.9)</f>
        <v>0.75</v>
      </c>
      <c r="CJ454" s="9" t="s">
        <v>1</v>
      </c>
      <c r="CK454" s="9" t="s">
        <v>1</v>
      </c>
      <c r="CL454" s="4" t="s">
        <v>1</v>
      </c>
      <c r="CM454" t="s">
        <v>847</v>
      </c>
      <c r="CN454" s="4">
        <f>AVERAGE(243,163)</f>
        <v>203</v>
      </c>
      <c r="CO454" s="4" t="s">
        <v>1</v>
      </c>
      <c r="CP454" s="4" t="s">
        <v>1</v>
      </c>
      <c r="CQ454" s="4" t="s">
        <v>1</v>
      </c>
      <c r="CR454" s="4" t="s">
        <v>1</v>
      </c>
      <c r="CS454" s="4" t="s">
        <v>1</v>
      </c>
      <c r="CT454" s="4" t="s">
        <v>1</v>
      </c>
      <c r="CU454" s="4" t="s">
        <v>1</v>
      </c>
      <c r="CV454" t="s">
        <v>855</v>
      </c>
      <c r="CW454">
        <v>100</v>
      </c>
      <c r="CX454">
        <v>0</v>
      </c>
      <c r="CY454">
        <v>26</v>
      </c>
      <c r="CZ454" s="26" t="s">
        <v>1358</v>
      </c>
      <c r="DA454" t="s">
        <v>734</v>
      </c>
      <c r="DB454">
        <v>79</v>
      </c>
      <c r="DC454">
        <v>0</v>
      </c>
      <c r="DD454">
        <v>26</v>
      </c>
      <c r="DE454" s="26" t="s">
        <v>1358</v>
      </c>
      <c r="DF454" t="s">
        <v>735</v>
      </c>
      <c r="DG454">
        <v>13</v>
      </c>
      <c r="DH454">
        <v>0</v>
      </c>
      <c r="DI454">
        <v>26</v>
      </c>
      <c r="DJ454" s="26" t="s">
        <v>1358</v>
      </c>
      <c r="DK454" t="s">
        <v>736</v>
      </c>
      <c r="DL454">
        <v>8</v>
      </c>
      <c r="DM454">
        <v>0</v>
      </c>
      <c r="DN454">
        <v>26</v>
      </c>
      <c r="DO454" s="26" t="s">
        <v>1358</v>
      </c>
      <c r="DP454" t="s">
        <v>6</v>
      </c>
      <c r="DQ454" t="s">
        <v>812</v>
      </c>
      <c r="DR454">
        <v>5.3</v>
      </c>
      <c r="DS454">
        <v>0</v>
      </c>
      <c r="DT454">
        <v>26</v>
      </c>
      <c r="DU454" s="26" t="s">
        <v>1358</v>
      </c>
      <c r="EA454" t="s">
        <v>982</v>
      </c>
      <c r="EB454">
        <v>12.4</v>
      </c>
      <c r="EC454">
        <v>0</v>
      </c>
      <c r="ED454">
        <v>26</v>
      </c>
      <c r="EE454" s="26" t="s">
        <v>1358</v>
      </c>
      <c r="EF454" s="26"/>
      <c r="FZ454" t="s">
        <v>806</v>
      </c>
      <c r="GA454">
        <v>392.35</v>
      </c>
      <c r="GE454" s="26" t="s">
        <v>1358</v>
      </c>
      <c r="HA454" s="5" t="s">
        <v>1</v>
      </c>
      <c r="HB454" s="4" t="s">
        <v>1</v>
      </c>
      <c r="HC454" t="s">
        <v>1</v>
      </c>
      <c r="HD454" t="s">
        <v>1</v>
      </c>
      <c r="HE454" t="s">
        <v>1</v>
      </c>
      <c r="HF454" s="5" t="s">
        <v>1</v>
      </c>
      <c r="HG454" s="4" t="s">
        <v>1</v>
      </c>
      <c r="HH454" t="s">
        <v>1</v>
      </c>
      <c r="HI454" t="s">
        <v>1</v>
      </c>
      <c r="HJ454" t="s">
        <v>1</v>
      </c>
      <c r="HK454" t="s">
        <v>815</v>
      </c>
      <c r="HL454" s="4">
        <v>1.55</v>
      </c>
      <c r="HM454">
        <v>0</v>
      </c>
      <c r="HN454">
        <v>26</v>
      </c>
      <c r="HO454" t="s">
        <v>1455</v>
      </c>
      <c r="HP454" s="26" t="s">
        <v>1358</v>
      </c>
      <c r="HZ454" t="s">
        <v>969</v>
      </c>
      <c r="IA454">
        <v>16</v>
      </c>
      <c r="IB454" s="10" t="s">
        <v>1</v>
      </c>
      <c r="IC454" s="10"/>
      <c r="ID454" s="10"/>
      <c r="IE454" s="10" t="s">
        <v>1</v>
      </c>
      <c r="IF454" s="10" t="s">
        <v>1</v>
      </c>
      <c r="IG454" s="10"/>
      <c r="IH454" s="10"/>
      <c r="II454" s="10"/>
      <c r="IJ454" s="10"/>
      <c r="IK454" s="10"/>
      <c r="IL454" s="10"/>
      <c r="IM454" s="10"/>
      <c r="IN454" s="10"/>
      <c r="IO454" s="10"/>
      <c r="IP454" s="10"/>
      <c r="IQ454" s="10"/>
      <c r="IR454" s="10"/>
      <c r="IS454" t="s">
        <v>978</v>
      </c>
      <c r="IT454">
        <v>205</v>
      </c>
      <c r="IW454" t="s">
        <v>1</v>
      </c>
      <c r="IX454" t="s">
        <v>1</v>
      </c>
      <c r="IY454" t="s">
        <v>808</v>
      </c>
      <c r="IZ454">
        <v>1522.5</v>
      </c>
      <c r="JA454" t="s">
        <v>1</v>
      </c>
      <c r="JB454" s="3" t="s">
        <v>1</v>
      </c>
      <c r="JC454" t="s">
        <v>965</v>
      </c>
      <c r="JD454" s="4">
        <f t="shared" si="60"/>
        <v>9.5</v>
      </c>
      <c r="JE454" t="s">
        <v>810</v>
      </c>
      <c r="JF454">
        <v>100</v>
      </c>
      <c r="JR454" t="s">
        <v>1066</v>
      </c>
      <c r="JS454">
        <v>413.9</v>
      </c>
      <c r="JU454" t="s">
        <v>1</v>
      </c>
      <c r="JW454" t="s">
        <v>1</v>
      </c>
      <c r="JX454">
        <v>0</v>
      </c>
      <c r="JY454">
        <v>75</v>
      </c>
      <c r="JZ454" t="s">
        <v>800</v>
      </c>
      <c r="KA454" t="s">
        <v>432</v>
      </c>
      <c r="KB454" t="s">
        <v>738</v>
      </c>
      <c r="KC454" t="s">
        <v>1</v>
      </c>
      <c r="KD454" t="s">
        <v>1</v>
      </c>
      <c r="KE454" t="s">
        <v>1</v>
      </c>
      <c r="KF454" t="s">
        <v>1</v>
      </c>
      <c r="KG454" t="s">
        <v>1</v>
      </c>
      <c r="KH454" t="s">
        <v>1</v>
      </c>
      <c r="KI454" t="s">
        <v>1</v>
      </c>
      <c r="KJ454" t="s">
        <v>1</v>
      </c>
      <c r="KK454" t="s">
        <v>1</v>
      </c>
    </row>
    <row r="455" spans="1:297" x14ac:dyDescent="0.2">
      <c r="A455">
        <v>423</v>
      </c>
      <c r="B455" t="s">
        <v>705</v>
      </c>
      <c r="C455" t="s">
        <v>520</v>
      </c>
      <c r="D455" t="s">
        <v>518</v>
      </c>
      <c r="E455">
        <v>74</v>
      </c>
      <c r="F455" t="s">
        <v>519</v>
      </c>
      <c r="G455" t="s">
        <v>1</v>
      </c>
      <c r="H455" s="26" t="s">
        <v>1420</v>
      </c>
      <c r="I455" t="s">
        <v>1</v>
      </c>
      <c r="J455" t="s">
        <v>1</v>
      </c>
      <c r="K455" t="s">
        <v>1</v>
      </c>
      <c r="L455" t="s">
        <v>1</v>
      </c>
      <c r="M455" t="s">
        <v>1</v>
      </c>
      <c r="N455" t="s">
        <v>1</v>
      </c>
      <c r="O455" t="s">
        <v>1</v>
      </c>
      <c r="P455" t="s">
        <v>1</v>
      </c>
      <c r="Q455" t="s">
        <v>1</v>
      </c>
      <c r="R455" t="s">
        <v>1</v>
      </c>
      <c r="S455" t="s">
        <v>1</v>
      </c>
      <c r="T455" t="s">
        <v>1</v>
      </c>
      <c r="U455" t="s">
        <v>1</v>
      </c>
      <c r="V455" t="s">
        <v>1</v>
      </c>
      <c r="W455" t="s">
        <v>1</v>
      </c>
      <c r="X455" t="s">
        <v>1</v>
      </c>
      <c r="Y455" t="s">
        <v>1</v>
      </c>
      <c r="Z455" t="s">
        <v>1</v>
      </c>
      <c r="AA455" t="s">
        <v>1</v>
      </c>
      <c r="AB455" t="s">
        <v>1</v>
      </c>
      <c r="AC455" t="s">
        <v>1</v>
      </c>
      <c r="AD455" t="s">
        <v>1</v>
      </c>
      <c r="AE455" t="s">
        <v>1</v>
      </c>
      <c r="AF455" t="s">
        <v>1</v>
      </c>
      <c r="AG455" t="s">
        <v>1</v>
      </c>
      <c r="AH455" t="s">
        <v>1</v>
      </c>
      <c r="AI455" t="s">
        <v>1</v>
      </c>
      <c r="AJ455" t="s">
        <v>1</v>
      </c>
      <c r="AK455" t="s">
        <v>1</v>
      </c>
      <c r="AL455" t="s">
        <v>1</v>
      </c>
      <c r="AM455" t="s">
        <v>1</v>
      </c>
      <c r="AN455">
        <v>423</v>
      </c>
      <c r="AO455">
        <f t="shared" si="59"/>
        <v>423</v>
      </c>
      <c r="AP455">
        <f t="shared" si="62"/>
        <v>74</v>
      </c>
      <c r="AQ455">
        <f t="shared" si="61"/>
        <v>74</v>
      </c>
      <c r="AR455" s="26" t="s">
        <v>1355</v>
      </c>
      <c r="AS455" s="26" t="s">
        <v>1356</v>
      </c>
      <c r="AT455" t="s">
        <v>713</v>
      </c>
      <c r="AU455" t="s">
        <v>1</v>
      </c>
      <c r="AV455" t="s">
        <v>1</v>
      </c>
      <c r="AW455">
        <v>43.3</v>
      </c>
      <c r="AX455">
        <v>-89.35</v>
      </c>
      <c r="AY455" t="s">
        <v>737</v>
      </c>
      <c r="BA455" s="3">
        <v>4</v>
      </c>
      <c r="BB455" s="3"/>
      <c r="BC455" s="3"/>
      <c r="BD455" s="3"/>
      <c r="BE455" s="3"/>
      <c r="BF455">
        <v>2008</v>
      </c>
      <c r="BG455" s="24" t="s">
        <v>733</v>
      </c>
      <c r="BH455" s="24" t="s">
        <v>733</v>
      </c>
      <c r="BI455" s="24" t="s">
        <v>733</v>
      </c>
      <c r="BJ455" s="24" t="s">
        <v>732</v>
      </c>
      <c r="BK455" s="24" t="s">
        <v>733</v>
      </c>
      <c r="BL455" s="25" t="s">
        <v>733</v>
      </c>
      <c r="BM455" s="24" t="s">
        <v>733</v>
      </c>
      <c r="BN455" s="24" t="s">
        <v>732</v>
      </c>
      <c r="BO455" s="24" t="s">
        <v>733</v>
      </c>
      <c r="BP455" s="24" t="s">
        <v>733</v>
      </c>
      <c r="BQ455" s="24" t="s">
        <v>945</v>
      </c>
      <c r="BR455" s="24" t="s">
        <v>945</v>
      </c>
      <c r="BS455" s="25" t="s">
        <v>934</v>
      </c>
      <c r="BT455" s="24" t="s">
        <v>934</v>
      </c>
      <c r="BU455" s="24" t="s">
        <v>934</v>
      </c>
      <c r="BV455" s="24" t="s">
        <v>934</v>
      </c>
      <c r="BW455" s="24" t="s">
        <v>934</v>
      </c>
      <c r="BX455" s="24" t="s">
        <v>934</v>
      </c>
      <c r="BY455" s="25" t="s">
        <v>945</v>
      </c>
      <c r="BZ455" t="s">
        <v>5</v>
      </c>
      <c r="CB455" t="s">
        <v>1</v>
      </c>
      <c r="CC455" s="4">
        <f>AVERAGE(13.1,11.6,14.2)*1000*84.5%</f>
        <v>10956.833333333332</v>
      </c>
      <c r="CD455" s="4"/>
      <c r="CE455" s="4"/>
      <c r="CF455" t="s">
        <v>793</v>
      </c>
      <c r="CG455">
        <v>100</v>
      </c>
      <c r="CH455" t="s">
        <v>805</v>
      </c>
      <c r="CI455" s="28">
        <v>1</v>
      </c>
      <c r="CJ455" s="9" t="s">
        <v>1</v>
      </c>
      <c r="CK455" t="s">
        <v>807</v>
      </c>
      <c r="CL455" s="4">
        <f>AVERAGE(18.7,16.2,19.3)*1000-10956.8333333333</f>
        <v>7109.8333333333685</v>
      </c>
      <c r="CM455" s="34" t="s">
        <v>1</v>
      </c>
      <c r="CN455" s="16" t="s">
        <v>1</v>
      </c>
      <c r="CO455" s="4" t="s">
        <v>1</v>
      </c>
      <c r="CP455" s="4" t="s">
        <v>1</v>
      </c>
      <c r="CQ455" s="4" t="s">
        <v>1</v>
      </c>
      <c r="CR455" s="4" t="s">
        <v>1</v>
      </c>
      <c r="CS455" s="4" t="s">
        <v>1</v>
      </c>
      <c r="CT455" s="4" t="s">
        <v>1</v>
      </c>
      <c r="CU455" s="4" t="s">
        <v>1</v>
      </c>
      <c r="CV455" t="s">
        <v>1068</v>
      </c>
      <c r="CW455">
        <v>100</v>
      </c>
      <c r="CX455">
        <v>0</v>
      </c>
      <c r="CY455">
        <v>30</v>
      </c>
      <c r="CZ455" s="26" t="s">
        <v>1358</v>
      </c>
      <c r="DA455" t="s">
        <v>734</v>
      </c>
      <c r="DB455">
        <v>15.5</v>
      </c>
      <c r="DC455">
        <v>0</v>
      </c>
      <c r="DD455">
        <v>30</v>
      </c>
      <c r="DE455" s="26" t="s">
        <v>1358</v>
      </c>
      <c r="DF455" t="s">
        <v>735</v>
      </c>
      <c r="DG455">
        <v>63.5</v>
      </c>
      <c r="DH455">
        <v>0</v>
      </c>
      <c r="DI455">
        <v>30</v>
      </c>
      <c r="DJ455" s="26" t="s">
        <v>1358</v>
      </c>
      <c r="DK455" t="s">
        <v>736</v>
      </c>
      <c r="DL455">
        <v>21</v>
      </c>
      <c r="DM455">
        <v>0</v>
      </c>
      <c r="DN455">
        <v>30</v>
      </c>
      <c r="DO455" s="26" t="s">
        <v>1358</v>
      </c>
      <c r="DP455" t="s">
        <v>1</v>
      </c>
      <c r="DQ455" t="s">
        <v>1</v>
      </c>
      <c r="DR455" t="s">
        <v>1</v>
      </c>
      <c r="DS455" t="s">
        <v>1</v>
      </c>
      <c r="DT455" t="s">
        <v>1</v>
      </c>
      <c r="DU455" t="s">
        <v>1</v>
      </c>
      <c r="EA455" t="s">
        <v>982</v>
      </c>
      <c r="EB455">
        <v>36.4</v>
      </c>
      <c r="EC455">
        <v>0</v>
      </c>
      <c r="ED455">
        <v>30</v>
      </c>
      <c r="EE455" s="26" t="s">
        <v>1358</v>
      </c>
      <c r="EF455" s="26"/>
      <c r="FZ455" t="s">
        <v>806</v>
      </c>
      <c r="GA455">
        <v>925</v>
      </c>
      <c r="GE455" s="26" t="s">
        <v>1358</v>
      </c>
      <c r="HA455" s="5" t="s">
        <v>1</v>
      </c>
      <c r="HB455" s="4" t="s">
        <v>1</v>
      </c>
      <c r="HC455" t="s">
        <v>1</v>
      </c>
      <c r="HD455" t="s">
        <v>1</v>
      </c>
      <c r="HE455" t="s">
        <v>1</v>
      </c>
      <c r="HF455" s="5" t="s">
        <v>1</v>
      </c>
      <c r="HG455" s="4" t="s">
        <v>1</v>
      </c>
      <c r="HH455" t="s">
        <v>1</v>
      </c>
      <c r="HI455" t="s">
        <v>1</v>
      </c>
      <c r="HJ455" t="s">
        <v>1</v>
      </c>
      <c r="HK455" t="s">
        <v>815</v>
      </c>
      <c r="HL455" s="4">
        <v>1.5349999999999999</v>
      </c>
      <c r="HM455">
        <v>0</v>
      </c>
      <c r="HN455">
        <v>30</v>
      </c>
      <c r="HO455" t="s">
        <v>1</v>
      </c>
      <c r="HP455" s="26" t="s">
        <v>1358</v>
      </c>
      <c r="HZ455" t="s">
        <v>966</v>
      </c>
      <c r="IA455">
        <v>314</v>
      </c>
      <c r="IB455" s="5" t="s">
        <v>1</v>
      </c>
      <c r="IC455" s="5"/>
      <c r="ID455" s="5"/>
      <c r="IE455" s="10" t="s">
        <v>1</v>
      </c>
      <c r="IF455" s="10" t="s">
        <v>1</v>
      </c>
      <c r="IG455" s="10"/>
      <c r="IH455" s="10"/>
      <c r="II455" s="10"/>
      <c r="IJ455" s="10"/>
      <c r="IK455" s="10"/>
      <c r="IL455" s="10"/>
      <c r="IM455" s="10"/>
      <c r="IN455" s="10"/>
      <c r="IO455" s="10"/>
      <c r="IP455" s="10"/>
      <c r="IQ455" s="10"/>
      <c r="IR455" s="10"/>
      <c r="IS455" t="s">
        <v>1</v>
      </c>
      <c r="IT455" t="s">
        <v>1</v>
      </c>
      <c r="IW455" t="s">
        <v>1</v>
      </c>
      <c r="IX455" t="s">
        <v>1</v>
      </c>
      <c r="IY455" t="s">
        <v>1</v>
      </c>
      <c r="IZ455" t="s">
        <v>1</v>
      </c>
      <c r="JA455" t="s">
        <v>1</v>
      </c>
      <c r="JB455" s="3" t="s">
        <v>1</v>
      </c>
      <c r="JC455" t="s">
        <v>1</v>
      </c>
      <c r="JD455" s="4" t="s">
        <v>1</v>
      </c>
      <c r="JE455" t="s">
        <v>811</v>
      </c>
      <c r="JF455">
        <v>100</v>
      </c>
      <c r="JR455" t="s">
        <v>1066</v>
      </c>
      <c r="JS455">
        <v>153.5</v>
      </c>
      <c r="JU455" t="s">
        <v>1</v>
      </c>
      <c r="JW455" t="s">
        <v>1</v>
      </c>
      <c r="JX455">
        <v>0</v>
      </c>
      <c r="JY455">
        <v>100</v>
      </c>
      <c r="JZ455" t="s">
        <v>800</v>
      </c>
      <c r="KA455" t="s">
        <v>90</v>
      </c>
      <c r="KB455" t="s">
        <v>738</v>
      </c>
      <c r="KC455" t="s">
        <v>1</v>
      </c>
      <c r="KD455" t="s">
        <v>1</v>
      </c>
      <c r="KE455" t="s">
        <v>1</v>
      </c>
      <c r="KF455" t="s">
        <v>1</v>
      </c>
      <c r="KG455" t="s">
        <v>1</v>
      </c>
      <c r="KH455" t="s">
        <v>1</v>
      </c>
      <c r="KI455" t="s">
        <v>1</v>
      </c>
      <c r="KJ455" t="s">
        <v>1</v>
      </c>
      <c r="KK455" t="s">
        <v>1</v>
      </c>
    </row>
    <row r="456" spans="1:297" x14ac:dyDescent="0.2">
      <c r="A456">
        <v>424</v>
      </c>
      <c r="B456" t="s">
        <v>705</v>
      </c>
      <c r="C456" t="s">
        <v>521</v>
      </c>
      <c r="D456" t="s">
        <v>518</v>
      </c>
      <c r="E456">
        <v>74</v>
      </c>
      <c r="F456" t="s">
        <v>519</v>
      </c>
      <c r="G456" t="s">
        <v>1</v>
      </c>
      <c r="H456" s="26" t="s">
        <v>1420</v>
      </c>
      <c r="I456" t="s">
        <v>1</v>
      </c>
      <c r="J456" t="s">
        <v>1</v>
      </c>
      <c r="K456" t="s">
        <v>1</v>
      </c>
      <c r="L456" t="s">
        <v>1</v>
      </c>
      <c r="M456" t="s">
        <v>1</v>
      </c>
      <c r="N456" t="s">
        <v>1</v>
      </c>
      <c r="O456" t="s">
        <v>1</v>
      </c>
      <c r="P456" t="s">
        <v>1</v>
      </c>
      <c r="Q456" t="s">
        <v>1</v>
      </c>
      <c r="R456" t="s">
        <v>1</v>
      </c>
      <c r="S456" t="s">
        <v>1</v>
      </c>
      <c r="T456" t="s">
        <v>1</v>
      </c>
      <c r="U456" t="s">
        <v>1</v>
      </c>
      <c r="V456" t="s">
        <v>1</v>
      </c>
      <c r="W456" t="s">
        <v>1</v>
      </c>
      <c r="X456" t="s">
        <v>1</v>
      </c>
      <c r="Y456" t="s">
        <v>1</v>
      </c>
      <c r="Z456" t="s">
        <v>1</v>
      </c>
      <c r="AA456" t="s">
        <v>1</v>
      </c>
      <c r="AB456" t="s">
        <v>1</v>
      </c>
      <c r="AC456" t="s">
        <v>1</v>
      </c>
      <c r="AD456" t="s">
        <v>1</v>
      </c>
      <c r="AE456" t="s">
        <v>1</v>
      </c>
      <c r="AF456" t="s">
        <v>1</v>
      </c>
      <c r="AG456" t="s">
        <v>1</v>
      </c>
      <c r="AH456" t="s">
        <v>1</v>
      </c>
      <c r="AI456" t="s">
        <v>1</v>
      </c>
      <c r="AJ456" t="s">
        <v>1</v>
      </c>
      <c r="AK456" t="s">
        <v>1</v>
      </c>
      <c r="AL456" t="s">
        <v>1</v>
      </c>
      <c r="AM456" t="s">
        <v>1</v>
      </c>
      <c r="AN456">
        <v>424</v>
      </c>
      <c r="AO456">
        <f t="shared" si="59"/>
        <v>424</v>
      </c>
      <c r="AP456">
        <f t="shared" si="62"/>
        <v>74</v>
      </c>
      <c r="AQ456">
        <f t="shared" si="61"/>
        <v>74</v>
      </c>
      <c r="AR456" s="26" t="s">
        <v>1355</v>
      </c>
      <c r="AS456" s="26" t="s">
        <v>1356</v>
      </c>
      <c r="AT456" t="s">
        <v>713</v>
      </c>
      <c r="AU456" t="s">
        <v>1</v>
      </c>
      <c r="AV456" t="s">
        <v>1</v>
      </c>
      <c r="AW456">
        <v>43.3</v>
      </c>
      <c r="AX456">
        <v>-89.35</v>
      </c>
      <c r="AY456" t="s">
        <v>737</v>
      </c>
      <c r="BA456" s="3">
        <v>4</v>
      </c>
      <c r="BB456" s="3"/>
      <c r="BC456" s="3"/>
      <c r="BD456" s="3"/>
      <c r="BE456" s="3"/>
      <c r="BF456">
        <v>2008</v>
      </c>
      <c r="BG456" s="24" t="s">
        <v>733</v>
      </c>
      <c r="BH456" s="24" t="s">
        <v>733</v>
      </c>
      <c r="BI456" s="24" t="s">
        <v>733</v>
      </c>
      <c r="BJ456" s="24" t="s">
        <v>732</v>
      </c>
      <c r="BK456" s="24" t="s">
        <v>733</v>
      </c>
      <c r="BL456" s="25" t="s">
        <v>733</v>
      </c>
      <c r="BM456" s="24" t="s">
        <v>733</v>
      </c>
      <c r="BN456" s="24" t="s">
        <v>732</v>
      </c>
      <c r="BO456" s="24" t="s">
        <v>733</v>
      </c>
      <c r="BP456" s="24" t="s">
        <v>733</v>
      </c>
      <c r="BQ456" s="24" t="s">
        <v>945</v>
      </c>
      <c r="BR456" s="24" t="s">
        <v>945</v>
      </c>
      <c r="BS456" s="25" t="s">
        <v>934</v>
      </c>
      <c r="BT456" s="24" t="s">
        <v>934</v>
      </c>
      <c r="BU456" s="24" t="s">
        <v>934</v>
      </c>
      <c r="BV456" s="24" t="s">
        <v>934</v>
      </c>
      <c r="BW456" s="24" t="s">
        <v>934</v>
      </c>
      <c r="BX456" s="24" t="s">
        <v>934</v>
      </c>
      <c r="BY456" s="25" t="s">
        <v>945</v>
      </c>
      <c r="BZ456" t="s">
        <v>5</v>
      </c>
      <c r="CB456" t="s">
        <v>1</v>
      </c>
      <c r="CC456" s="4">
        <f>AVERAGE(12.3,9.2,10.9)*1000*84.5%</f>
        <v>9125.9999999999982</v>
      </c>
      <c r="CD456" s="4"/>
      <c r="CE456" s="4"/>
      <c r="CF456" t="s">
        <v>793</v>
      </c>
      <c r="CG456">
        <v>100</v>
      </c>
      <c r="CH456" t="s">
        <v>805</v>
      </c>
      <c r="CI456" s="28">
        <v>1</v>
      </c>
      <c r="CJ456" s="9" t="s">
        <v>1</v>
      </c>
      <c r="CK456" t="s">
        <v>807</v>
      </c>
      <c r="CL456" s="4">
        <f>AVERAGE(17.4,13.8,15)*1000-9126</f>
        <v>6274</v>
      </c>
      <c r="CM456" s="34" t="s">
        <v>1</v>
      </c>
      <c r="CN456" s="16" t="s">
        <v>1</v>
      </c>
      <c r="CO456" s="4" t="s">
        <v>1</v>
      </c>
      <c r="CP456" s="4" t="s">
        <v>1</v>
      </c>
      <c r="CQ456" s="4" t="s">
        <v>1</v>
      </c>
      <c r="CR456" s="4" t="s">
        <v>1</v>
      </c>
      <c r="CS456" s="4" t="s">
        <v>1</v>
      </c>
      <c r="CT456" s="4" t="s">
        <v>1</v>
      </c>
      <c r="CU456" s="4" t="s">
        <v>1</v>
      </c>
      <c r="CV456" t="s">
        <v>1068</v>
      </c>
      <c r="CW456">
        <v>100</v>
      </c>
      <c r="CX456">
        <v>0</v>
      </c>
      <c r="CY456">
        <v>30</v>
      </c>
      <c r="CZ456" s="26" t="s">
        <v>1358</v>
      </c>
      <c r="DA456" t="s">
        <v>734</v>
      </c>
      <c r="DB456">
        <v>15.5</v>
      </c>
      <c r="DC456">
        <v>0</v>
      </c>
      <c r="DD456">
        <v>30</v>
      </c>
      <c r="DE456" s="26" t="s">
        <v>1358</v>
      </c>
      <c r="DF456" t="s">
        <v>735</v>
      </c>
      <c r="DG456">
        <v>63.5</v>
      </c>
      <c r="DH456">
        <v>0</v>
      </c>
      <c r="DI456">
        <v>30</v>
      </c>
      <c r="DJ456" s="26" t="s">
        <v>1358</v>
      </c>
      <c r="DK456" t="s">
        <v>736</v>
      </c>
      <c r="DL456">
        <v>21</v>
      </c>
      <c r="DM456">
        <v>0</v>
      </c>
      <c r="DN456">
        <v>30</v>
      </c>
      <c r="DO456" s="26" t="s">
        <v>1358</v>
      </c>
      <c r="DP456" t="s">
        <v>1</v>
      </c>
      <c r="DQ456" t="s">
        <v>1</v>
      </c>
      <c r="DR456" t="s">
        <v>1</v>
      </c>
      <c r="DS456" t="s">
        <v>1</v>
      </c>
      <c r="DT456" t="s">
        <v>1</v>
      </c>
      <c r="DU456" t="s">
        <v>1</v>
      </c>
      <c r="EA456" t="s">
        <v>982</v>
      </c>
      <c r="EB456">
        <v>36.4</v>
      </c>
      <c r="EC456">
        <v>0</v>
      </c>
      <c r="ED456">
        <v>30</v>
      </c>
      <c r="EE456" s="26" t="s">
        <v>1358</v>
      </c>
      <c r="EF456" s="26"/>
      <c r="FZ456" t="s">
        <v>806</v>
      </c>
      <c r="GA456">
        <v>925</v>
      </c>
      <c r="GE456" s="26" t="s">
        <v>1358</v>
      </c>
      <c r="HA456" s="5" t="s">
        <v>1</v>
      </c>
      <c r="HB456" s="4" t="s">
        <v>1</v>
      </c>
      <c r="HC456" t="s">
        <v>1</v>
      </c>
      <c r="HD456" t="s">
        <v>1</v>
      </c>
      <c r="HE456" t="s">
        <v>1</v>
      </c>
      <c r="HF456" s="5" t="s">
        <v>1</v>
      </c>
      <c r="HG456" s="4" t="s">
        <v>1</v>
      </c>
      <c r="HH456" t="s">
        <v>1</v>
      </c>
      <c r="HI456" t="s">
        <v>1</v>
      </c>
      <c r="HJ456" t="s">
        <v>1</v>
      </c>
      <c r="HK456" t="s">
        <v>815</v>
      </c>
      <c r="HL456" s="4">
        <v>1.5349999999999999</v>
      </c>
      <c r="HM456">
        <v>0</v>
      </c>
      <c r="HN456">
        <v>30</v>
      </c>
      <c r="HO456" t="s">
        <v>1</v>
      </c>
      <c r="HP456" s="26" t="s">
        <v>1358</v>
      </c>
      <c r="HZ456" t="s">
        <v>1</v>
      </c>
      <c r="IA456" t="s">
        <v>1</v>
      </c>
      <c r="IB456" s="10" t="s">
        <v>1</v>
      </c>
      <c r="IC456" s="10"/>
      <c r="ID456" s="10"/>
      <c r="IE456" s="10" t="s">
        <v>1</v>
      </c>
      <c r="IF456" s="10" t="s">
        <v>1</v>
      </c>
      <c r="IG456" s="10"/>
      <c r="IH456" s="10"/>
      <c r="II456" s="10"/>
      <c r="IJ456" s="10"/>
      <c r="IK456" s="10"/>
      <c r="IL456" s="10"/>
      <c r="IM456" s="10"/>
      <c r="IN456" s="10"/>
      <c r="IO456" s="10"/>
      <c r="IP456" s="10"/>
      <c r="IQ456" s="10"/>
      <c r="IR456" s="10"/>
      <c r="IS456" t="s">
        <v>1</v>
      </c>
      <c r="IT456" t="s">
        <v>1</v>
      </c>
      <c r="IW456" t="s">
        <v>1</v>
      </c>
      <c r="IX456" t="s">
        <v>1</v>
      </c>
      <c r="IY456" t="s">
        <v>1</v>
      </c>
      <c r="IZ456" t="s">
        <v>1</v>
      </c>
      <c r="JA456" t="s">
        <v>1</v>
      </c>
      <c r="JB456" s="3" t="s">
        <v>1</v>
      </c>
      <c r="JC456" t="s">
        <v>1</v>
      </c>
      <c r="JD456" s="4" t="s">
        <v>1</v>
      </c>
      <c r="JE456" t="s">
        <v>811</v>
      </c>
      <c r="JF456">
        <v>100</v>
      </c>
      <c r="JR456" t="s">
        <v>1066</v>
      </c>
      <c r="JS456">
        <v>57.5</v>
      </c>
      <c r="JU456" t="s">
        <v>1</v>
      </c>
      <c r="JW456" t="s">
        <v>1</v>
      </c>
      <c r="JX456">
        <v>0</v>
      </c>
      <c r="JY456">
        <v>100</v>
      </c>
      <c r="JZ456" t="s">
        <v>800</v>
      </c>
      <c r="KA456" t="s">
        <v>90</v>
      </c>
      <c r="KB456" t="s">
        <v>738</v>
      </c>
      <c r="KC456" t="s">
        <v>1</v>
      </c>
      <c r="KD456" t="s">
        <v>1</v>
      </c>
      <c r="KE456" t="s">
        <v>1</v>
      </c>
      <c r="KF456" t="s">
        <v>1</v>
      </c>
      <c r="KG456" t="s">
        <v>1</v>
      </c>
      <c r="KH456" t="s">
        <v>1</v>
      </c>
      <c r="KI456" t="s">
        <v>1</v>
      </c>
      <c r="KJ456" t="s">
        <v>1</v>
      </c>
      <c r="KK456" t="s">
        <v>1</v>
      </c>
    </row>
    <row r="457" spans="1:297" x14ac:dyDescent="0.2">
      <c r="A457">
        <v>425</v>
      </c>
      <c r="B457" t="s">
        <v>705</v>
      </c>
      <c r="C457" t="s">
        <v>524</v>
      </c>
      <c r="D457" t="s">
        <v>522</v>
      </c>
      <c r="E457">
        <v>75</v>
      </c>
      <c r="F457" t="s">
        <v>523</v>
      </c>
      <c r="G457" t="s">
        <v>1</v>
      </c>
      <c r="H457" s="26" t="s">
        <v>1420</v>
      </c>
      <c r="I457" t="s">
        <v>1</v>
      </c>
      <c r="J457" t="s">
        <v>1</v>
      </c>
      <c r="K457" t="s">
        <v>1</v>
      </c>
      <c r="L457" t="s">
        <v>1</v>
      </c>
      <c r="M457" t="s">
        <v>1</v>
      </c>
      <c r="N457" t="s">
        <v>1</v>
      </c>
      <c r="O457" t="s">
        <v>1</v>
      </c>
      <c r="P457" t="s">
        <v>1</v>
      </c>
      <c r="Q457" t="s">
        <v>1</v>
      </c>
      <c r="R457" t="s">
        <v>1</v>
      </c>
      <c r="S457" t="s">
        <v>1</v>
      </c>
      <c r="T457" t="s">
        <v>1</v>
      </c>
      <c r="U457" t="s">
        <v>1</v>
      </c>
      <c r="V457" t="s">
        <v>1</v>
      </c>
      <c r="W457" t="s">
        <v>1</v>
      </c>
      <c r="X457" t="s">
        <v>1</v>
      </c>
      <c r="Y457" t="s">
        <v>1</v>
      </c>
      <c r="Z457" t="s">
        <v>1</v>
      </c>
      <c r="AA457" t="s">
        <v>1</v>
      </c>
      <c r="AB457" t="s">
        <v>1</v>
      </c>
      <c r="AC457" t="s">
        <v>1</v>
      </c>
      <c r="AD457" t="s">
        <v>1</v>
      </c>
      <c r="AE457" t="s">
        <v>1</v>
      </c>
      <c r="AF457" t="s">
        <v>1</v>
      </c>
      <c r="AG457" t="s">
        <v>1</v>
      </c>
      <c r="AH457" t="s">
        <v>1</v>
      </c>
      <c r="AI457" t="s">
        <v>1</v>
      </c>
      <c r="AJ457" t="s">
        <v>1</v>
      </c>
      <c r="AK457" t="s">
        <v>1</v>
      </c>
      <c r="AL457" t="s">
        <v>1</v>
      </c>
      <c r="AM457" t="s">
        <v>1</v>
      </c>
      <c r="AN457">
        <v>425</v>
      </c>
      <c r="AO457">
        <f t="shared" si="59"/>
        <v>425</v>
      </c>
      <c r="AP457">
        <f t="shared" si="62"/>
        <v>75</v>
      </c>
      <c r="AQ457">
        <f t="shared" si="61"/>
        <v>75</v>
      </c>
      <c r="AR457" s="26" t="s">
        <v>1355</v>
      </c>
      <c r="AS457" s="26" t="s">
        <v>1356</v>
      </c>
      <c r="AT457" t="s">
        <v>726</v>
      </c>
      <c r="AU457" t="s">
        <v>1</v>
      </c>
      <c r="AV457" t="s">
        <v>1</v>
      </c>
      <c r="AW457">
        <v>44.66</v>
      </c>
      <c r="AX457">
        <v>10.95</v>
      </c>
      <c r="AY457" t="s">
        <v>737</v>
      </c>
      <c r="BA457" s="3">
        <v>3</v>
      </c>
      <c r="BB457" s="3"/>
      <c r="BC457" s="3"/>
      <c r="BD457" s="3"/>
      <c r="BE457" s="3"/>
      <c r="BF457">
        <v>1979</v>
      </c>
      <c r="BG457" s="24" t="s">
        <v>733</v>
      </c>
      <c r="BH457" s="24" t="s">
        <v>733</v>
      </c>
      <c r="BI457" s="24" t="s">
        <v>733</v>
      </c>
      <c r="BJ457" s="24" t="s">
        <v>732</v>
      </c>
      <c r="BK457" s="24" t="s">
        <v>733</v>
      </c>
      <c r="BL457" s="25" t="s">
        <v>733</v>
      </c>
      <c r="BM457" s="24" t="s">
        <v>733</v>
      </c>
      <c r="BN457" s="24" t="s">
        <v>732</v>
      </c>
      <c r="BO457" s="24" t="s">
        <v>733</v>
      </c>
      <c r="BP457" s="24" t="s">
        <v>733</v>
      </c>
      <c r="BQ457" s="24" t="s">
        <v>945</v>
      </c>
      <c r="BR457" s="24" t="s">
        <v>945</v>
      </c>
      <c r="BS457" s="25" t="s">
        <v>934</v>
      </c>
      <c r="BT457" s="24" t="s">
        <v>934</v>
      </c>
      <c r="BU457" s="24" t="s">
        <v>934</v>
      </c>
      <c r="BV457" s="24" t="s">
        <v>934</v>
      </c>
      <c r="BW457" s="24" t="s">
        <v>934</v>
      </c>
      <c r="BX457" s="24" t="s">
        <v>934</v>
      </c>
      <c r="BY457" s="25" t="s">
        <v>945</v>
      </c>
      <c r="BZ457" t="s">
        <v>788</v>
      </c>
      <c r="CB457" t="s">
        <v>525</v>
      </c>
      <c r="CC457" s="4" t="s">
        <v>1</v>
      </c>
      <c r="CD457" s="4"/>
      <c r="CE457" s="4"/>
      <c r="CF457" t="s">
        <v>1</v>
      </c>
      <c r="CG457" t="s">
        <v>1</v>
      </c>
      <c r="CH457" t="s">
        <v>805</v>
      </c>
      <c r="CI457" s="28">
        <v>0.9</v>
      </c>
      <c r="CJ457" s="9" t="s">
        <v>1</v>
      </c>
      <c r="CK457" s="9" t="s">
        <v>1</v>
      </c>
      <c r="CL457" s="4" t="s">
        <v>1</v>
      </c>
      <c r="CM457" t="s">
        <v>847</v>
      </c>
      <c r="CN457" s="4">
        <v>35.94</v>
      </c>
      <c r="CO457" s="4" t="s">
        <v>1</v>
      </c>
      <c r="CP457" s="4" t="s">
        <v>1</v>
      </c>
      <c r="CQ457" s="4" t="s">
        <v>1</v>
      </c>
      <c r="CR457" s="4" t="s">
        <v>1</v>
      </c>
      <c r="CS457" s="4" t="s">
        <v>1</v>
      </c>
      <c r="CT457" s="4" t="s">
        <v>1</v>
      </c>
      <c r="CU457" s="4" t="s">
        <v>1</v>
      </c>
      <c r="CV457" t="s">
        <v>853</v>
      </c>
      <c r="CW457">
        <v>100</v>
      </c>
      <c r="CX457">
        <v>0</v>
      </c>
      <c r="CY457">
        <v>25</v>
      </c>
      <c r="CZ457" s="26" t="s">
        <v>1358</v>
      </c>
      <c r="DA457" t="s">
        <v>734</v>
      </c>
      <c r="DB457">
        <v>97.6</v>
      </c>
      <c r="DC457">
        <v>0</v>
      </c>
      <c r="DD457">
        <v>25</v>
      </c>
      <c r="DE457" s="26" t="s">
        <v>1358</v>
      </c>
      <c r="DF457" t="s">
        <v>735</v>
      </c>
      <c r="DG457">
        <v>1.2</v>
      </c>
      <c r="DH457">
        <v>0</v>
      </c>
      <c r="DI457">
        <v>25</v>
      </c>
      <c r="DJ457" s="26" t="s">
        <v>1358</v>
      </c>
      <c r="DK457" t="s">
        <v>736</v>
      </c>
      <c r="DL457">
        <v>1.2</v>
      </c>
      <c r="DM457">
        <v>0</v>
      </c>
      <c r="DN457">
        <v>25</v>
      </c>
      <c r="DO457" s="26" t="s">
        <v>1358</v>
      </c>
      <c r="DP457" t="s">
        <v>1</v>
      </c>
      <c r="DQ457" t="s">
        <v>1</v>
      </c>
      <c r="DR457" t="s">
        <v>1</v>
      </c>
      <c r="DS457" t="s">
        <v>1</v>
      </c>
      <c r="DT457" t="s">
        <v>1</v>
      </c>
      <c r="DU457" t="s">
        <v>1</v>
      </c>
      <c r="EA457" t="s">
        <v>982</v>
      </c>
      <c r="EB457">
        <v>0.3</v>
      </c>
      <c r="EC457">
        <v>0</v>
      </c>
      <c r="ED457">
        <v>25</v>
      </c>
      <c r="EE457" s="26" t="s">
        <v>1358</v>
      </c>
      <c r="EF457" s="26"/>
      <c r="FZ457" t="s">
        <v>806</v>
      </c>
      <c r="GA457">
        <v>867.32500000000005</v>
      </c>
      <c r="GE457" s="26" t="s">
        <v>1358</v>
      </c>
      <c r="HA457" s="5" t="s">
        <v>1</v>
      </c>
      <c r="HB457" s="4" t="s">
        <v>1</v>
      </c>
      <c r="HC457" t="s">
        <v>1</v>
      </c>
      <c r="HD457" t="s">
        <v>1</v>
      </c>
      <c r="HE457" t="s">
        <v>1</v>
      </c>
      <c r="HF457" s="5" t="s">
        <v>1063</v>
      </c>
      <c r="HG457" s="4">
        <v>0.1</v>
      </c>
      <c r="HH457">
        <v>0</v>
      </c>
      <c r="HI457">
        <v>25</v>
      </c>
      <c r="HJ457" s="26" t="s">
        <v>1358</v>
      </c>
      <c r="HK457" t="s">
        <v>815</v>
      </c>
      <c r="HL457">
        <v>1.45</v>
      </c>
      <c r="HM457">
        <v>0</v>
      </c>
      <c r="HN457">
        <v>25</v>
      </c>
      <c r="HO457" t="s">
        <v>1</v>
      </c>
      <c r="HP457" s="26" t="s">
        <v>1358</v>
      </c>
      <c r="HZ457" t="s">
        <v>1</v>
      </c>
      <c r="IA457" t="s">
        <v>1</v>
      </c>
      <c r="IB457" s="10" t="s">
        <v>1</v>
      </c>
      <c r="IC457" s="10"/>
      <c r="ID457" s="10"/>
      <c r="IE457" s="10" t="s">
        <v>1</v>
      </c>
      <c r="IF457" s="10" t="s">
        <v>1</v>
      </c>
      <c r="IG457" s="10"/>
      <c r="IH457" s="10"/>
      <c r="II457" s="10"/>
      <c r="IJ457" s="10"/>
      <c r="IK457" s="10"/>
      <c r="IL457" s="10"/>
      <c r="IM457" s="10"/>
      <c r="IN457" s="10"/>
      <c r="IO457" s="10"/>
      <c r="IP457" s="10"/>
      <c r="IQ457" s="10"/>
      <c r="IR457" s="10"/>
      <c r="IS457" t="s">
        <v>1</v>
      </c>
      <c r="IT457" t="s">
        <v>1</v>
      </c>
      <c r="IW457" t="s">
        <v>1</v>
      </c>
      <c r="IX457" t="s">
        <v>1</v>
      </c>
      <c r="IY457" t="s">
        <v>808</v>
      </c>
      <c r="IZ457">
        <v>1675</v>
      </c>
      <c r="JA457" t="s">
        <v>1</v>
      </c>
      <c r="JB457" s="3" t="s">
        <v>1</v>
      </c>
      <c r="JC457" t="s">
        <v>1</v>
      </c>
      <c r="JD457" s="4" t="s">
        <v>1</v>
      </c>
      <c r="JE457" t="s">
        <v>1</v>
      </c>
      <c r="JF457" t="s">
        <v>1</v>
      </c>
      <c r="JR457" t="s">
        <v>1066</v>
      </c>
      <c r="JS457">
        <v>108.7</v>
      </c>
      <c r="JU457" t="s">
        <v>1</v>
      </c>
      <c r="JW457" t="s">
        <v>1</v>
      </c>
      <c r="JX457">
        <v>0</v>
      </c>
      <c r="JY457">
        <v>90</v>
      </c>
      <c r="JZ457" t="s">
        <v>796</v>
      </c>
      <c r="KA457" t="s">
        <v>198</v>
      </c>
      <c r="KB457" t="s">
        <v>738</v>
      </c>
      <c r="KC457" t="s">
        <v>1</v>
      </c>
      <c r="KD457" t="s">
        <v>1</v>
      </c>
      <c r="KE457" t="s">
        <v>1</v>
      </c>
      <c r="KF457" t="s">
        <v>1</v>
      </c>
      <c r="KG457" t="s">
        <v>1</v>
      </c>
      <c r="KH457" t="s">
        <v>1</v>
      </c>
      <c r="KI457" t="s">
        <v>1</v>
      </c>
      <c r="KJ457" t="s">
        <v>1</v>
      </c>
      <c r="KK457" t="s">
        <v>1</v>
      </c>
    </row>
    <row r="458" spans="1:297" x14ac:dyDescent="0.2">
      <c r="A458">
        <v>426</v>
      </c>
      <c r="B458" t="s">
        <v>705</v>
      </c>
      <c r="C458" t="s">
        <v>526</v>
      </c>
      <c r="D458" t="s">
        <v>522</v>
      </c>
      <c r="E458">
        <v>75</v>
      </c>
      <c r="F458" t="s">
        <v>523</v>
      </c>
      <c r="G458" t="s">
        <v>1</v>
      </c>
      <c r="H458" s="26" t="s">
        <v>1420</v>
      </c>
      <c r="I458" t="s">
        <v>1</v>
      </c>
      <c r="J458" t="s">
        <v>1</v>
      </c>
      <c r="K458" t="s">
        <v>1</v>
      </c>
      <c r="L458" t="s">
        <v>1</v>
      </c>
      <c r="M458" t="s">
        <v>1</v>
      </c>
      <c r="N458" t="s">
        <v>1</v>
      </c>
      <c r="O458" t="s">
        <v>1</v>
      </c>
      <c r="P458" t="s">
        <v>1</v>
      </c>
      <c r="Q458" t="s">
        <v>1</v>
      </c>
      <c r="R458" t="s">
        <v>1</v>
      </c>
      <c r="S458" t="s">
        <v>1</v>
      </c>
      <c r="T458" t="s">
        <v>1</v>
      </c>
      <c r="U458" t="s">
        <v>1</v>
      </c>
      <c r="V458" t="s">
        <v>1</v>
      </c>
      <c r="W458" t="s">
        <v>1</v>
      </c>
      <c r="X458" t="s">
        <v>1</v>
      </c>
      <c r="Y458" t="s">
        <v>1</v>
      </c>
      <c r="Z458" t="s">
        <v>1</v>
      </c>
      <c r="AA458" t="s">
        <v>1</v>
      </c>
      <c r="AB458" t="s">
        <v>1</v>
      </c>
      <c r="AC458" t="s">
        <v>1</v>
      </c>
      <c r="AD458" t="s">
        <v>1</v>
      </c>
      <c r="AE458" t="s">
        <v>1</v>
      </c>
      <c r="AF458" t="s">
        <v>1</v>
      </c>
      <c r="AG458" t="s">
        <v>1</v>
      </c>
      <c r="AH458" t="s">
        <v>1</v>
      </c>
      <c r="AI458" t="s">
        <v>1</v>
      </c>
      <c r="AJ458" t="s">
        <v>1</v>
      </c>
      <c r="AK458" t="s">
        <v>1</v>
      </c>
      <c r="AL458" t="s">
        <v>1</v>
      </c>
      <c r="AM458" t="s">
        <v>1</v>
      </c>
      <c r="AN458">
        <v>426</v>
      </c>
      <c r="AO458">
        <f t="shared" si="59"/>
        <v>426</v>
      </c>
      <c r="AP458">
        <f t="shared" si="62"/>
        <v>75</v>
      </c>
      <c r="AQ458">
        <f t="shared" si="61"/>
        <v>75</v>
      </c>
      <c r="AR458" s="26" t="s">
        <v>1355</v>
      </c>
      <c r="AS458" s="26" t="s">
        <v>1356</v>
      </c>
      <c r="AT458" t="s">
        <v>726</v>
      </c>
      <c r="AU458" t="s">
        <v>1</v>
      </c>
      <c r="AV458" t="s">
        <v>1</v>
      </c>
      <c r="AW458">
        <v>44.66</v>
      </c>
      <c r="AX458">
        <v>10.95</v>
      </c>
      <c r="AY458" t="s">
        <v>737</v>
      </c>
      <c r="BA458" s="3">
        <v>3</v>
      </c>
      <c r="BB458" s="3"/>
      <c r="BC458" s="3"/>
      <c r="BD458" s="3"/>
      <c r="BE458" s="3"/>
      <c r="BF458">
        <v>1979</v>
      </c>
      <c r="BG458" s="24" t="s">
        <v>733</v>
      </c>
      <c r="BH458" s="24" t="s">
        <v>733</v>
      </c>
      <c r="BI458" s="24" t="s">
        <v>733</v>
      </c>
      <c r="BJ458" s="24" t="s">
        <v>732</v>
      </c>
      <c r="BK458" s="24" t="s">
        <v>733</v>
      </c>
      <c r="BL458" s="25" t="s">
        <v>733</v>
      </c>
      <c r="BM458" s="24" t="s">
        <v>733</v>
      </c>
      <c r="BN458" s="24" t="s">
        <v>732</v>
      </c>
      <c r="BO458" s="24" t="s">
        <v>733</v>
      </c>
      <c r="BP458" s="24" t="s">
        <v>733</v>
      </c>
      <c r="BQ458" s="24" t="s">
        <v>945</v>
      </c>
      <c r="BR458" s="24" t="s">
        <v>945</v>
      </c>
      <c r="BS458" s="25" t="s">
        <v>934</v>
      </c>
      <c r="BT458" s="24" t="s">
        <v>934</v>
      </c>
      <c r="BU458" s="24" t="s">
        <v>934</v>
      </c>
      <c r="BV458" s="24" t="s">
        <v>934</v>
      </c>
      <c r="BW458" s="24" t="s">
        <v>934</v>
      </c>
      <c r="BX458" s="24" t="s">
        <v>934</v>
      </c>
      <c r="BY458" s="25" t="s">
        <v>945</v>
      </c>
      <c r="BZ458" t="s">
        <v>788</v>
      </c>
      <c r="CB458" t="s">
        <v>525</v>
      </c>
      <c r="CC458" s="4" t="s">
        <v>1</v>
      </c>
      <c r="CD458" s="4"/>
      <c r="CE458" s="4"/>
      <c r="CF458" t="s">
        <v>1</v>
      </c>
      <c r="CG458" t="s">
        <v>1</v>
      </c>
      <c r="CH458" t="s">
        <v>805</v>
      </c>
      <c r="CI458" s="28">
        <v>0.9</v>
      </c>
      <c r="CJ458" s="9" t="s">
        <v>1</v>
      </c>
      <c r="CK458" s="9" t="s">
        <v>1</v>
      </c>
      <c r="CL458" s="4" t="s">
        <v>1</v>
      </c>
      <c r="CM458" t="s">
        <v>847</v>
      </c>
      <c r="CN458" s="4">
        <v>162.87</v>
      </c>
      <c r="CO458" s="4" t="s">
        <v>1</v>
      </c>
      <c r="CP458" s="4" t="s">
        <v>1</v>
      </c>
      <c r="CQ458" s="4" t="s">
        <v>1</v>
      </c>
      <c r="CR458" s="4" t="s">
        <v>1</v>
      </c>
      <c r="CS458" s="4" t="s">
        <v>1</v>
      </c>
      <c r="CT458" s="4" t="s">
        <v>1</v>
      </c>
      <c r="CU458" s="4" t="s">
        <v>1</v>
      </c>
      <c r="CV458" t="s">
        <v>853</v>
      </c>
      <c r="CW458">
        <v>100</v>
      </c>
      <c r="CX458">
        <v>0</v>
      </c>
      <c r="CY458">
        <v>25</v>
      </c>
      <c r="CZ458" s="26" t="s">
        <v>1358</v>
      </c>
      <c r="DA458" t="s">
        <v>734</v>
      </c>
      <c r="DB458">
        <v>97.6</v>
      </c>
      <c r="DC458">
        <v>0</v>
      </c>
      <c r="DD458">
        <v>25</v>
      </c>
      <c r="DE458" s="26" t="s">
        <v>1358</v>
      </c>
      <c r="DF458" t="s">
        <v>735</v>
      </c>
      <c r="DG458">
        <v>1.2</v>
      </c>
      <c r="DH458">
        <v>0</v>
      </c>
      <c r="DI458">
        <v>25</v>
      </c>
      <c r="DJ458" s="26" t="s">
        <v>1358</v>
      </c>
      <c r="DK458" t="s">
        <v>736</v>
      </c>
      <c r="DL458">
        <v>1.2</v>
      </c>
      <c r="DM458">
        <v>0</v>
      </c>
      <c r="DN458">
        <v>25</v>
      </c>
      <c r="DO458" s="26" t="s">
        <v>1358</v>
      </c>
      <c r="DP458" t="s">
        <v>1</v>
      </c>
      <c r="DQ458" t="s">
        <v>1</v>
      </c>
      <c r="DR458" t="s">
        <v>1</v>
      </c>
      <c r="DS458" t="s">
        <v>1</v>
      </c>
      <c r="DT458" t="s">
        <v>1</v>
      </c>
      <c r="DU458" t="s">
        <v>1</v>
      </c>
      <c r="EA458" t="s">
        <v>982</v>
      </c>
      <c r="EB458">
        <v>0.3</v>
      </c>
      <c r="EC458">
        <v>0</v>
      </c>
      <c r="ED458">
        <v>25</v>
      </c>
      <c r="EE458" s="26" t="s">
        <v>1358</v>
      </c>
      <c r="EF458" s="26"/>
      <c r="FZ458" t="s">
        <v>806</v>
      </c>
      <c r="GA458">
        <v>867.32500000000005</v>
      </c>
      <c r="GE458" s="26" t="s">
        <v>1358</v>
      </c>
      <c r="HA458" s="5" t="s">
        <v>1</v>
      </c>
      <c r="HB458" s="4" t="s">
        <v>1</v>
      </c>
      <c r="HC458" t="s">
        <v>1</v>
      </c>
      <c r="HD458" t="s">
        <v>1</v>
      </c>
      <c r="HE458" t="s">
        <v>1</v>
      </c>
      <c r="HF458" s="5" t="s">
        <v>1063</v>
      </c>
      <c r="HG458" s="4">
        <v>0.1</v>
      </c>
      <c r="HH458">
        <v>0</v>
      </c>
      <c r="HI458">
        <v>25</v>
      </c>
      <c r="HJ458" s="26" t="s">
        <v>1358</v>
      </c>
      <c r="HK458" t="s">
        <v>815</v>
      </c>
      <c r="HL458">
        <v>1.45</v>
      </c>
      <c r="HM458">
        <v>0</v>
      </c>
      <c r="HN458">
        <v>25</v>
      </c>
      <c r="HO458" t="s">
        <v>1</v>
      </c>
      <c r="HP458" s="26" t="s">
        <v>1358</v>
      </c>
      <c r="HZ458" t="s">
        <v>1</v>
      </c>
      <c r="IA458" t="s">
        <v>1</v>
      </c>
      <c r="IB458" s="10" t="s">
        <v>1</v>
      </c>
      <c r="IC458" s="10"/>
      <c r="ID458" s="10"/>
      <c r="IE458" s="10" t="s">
        <v>1</v>
      </c>
      <c r="IF458" s="10" t="s">
        <v>1</v>
      </c>
      <c r="IG458" s="10"/>
      <c r="IH458" s="10"/>
      <c r="II458" s="10"/>
      <c r="IJ458" s="10"/>
      <c r="IK458" s="10"/>
      <c r="IL458" s="10"/>
      <c r="IM458" s="10"/>
      <c r="IN458" s="10"/>
      <c r="IO458" s="10"/>
      <c r="IP458" s="10"/>
      <c r="IQ458" s="10"/>
      <c r="IR458" s="10"/>
      <c r="IS458" t="s">
        <v>1</v>
      </c>
      <c r="IT458" t="s">
        <v>1</v>
      </c>
      <c r="IW458" t="s">
        <v>979</v>
      </c>
      <c r="IX458">
        <v>277</v>
      </c>
      <c r="IY458" t="s">
        <v>808</v>
      </c>
      <c r="IZ458">
        <v>1675</v>
      </c>
      <c r="JA458" t="s">
        <v>1</v>
      </c>
      <c r="JB458" s="3" t="s">
        <v>1</v>
      </c>
      <c r="JC458" t="s">
        <v>1</v>
      </c>
      <c r="JD458" s="4" t="s">
        <v>1</v>
      </c>
      <c r="JE458" t="s">
        <v>1</v>
      </c>
      <c r="JF458" t="s">
        <v>1</v>
      </c>
      <c r="JR458" t="s">
        <v>1066</v>
      </c>
      <c r="JS458">
        <v>187.6</v>
      </c>
      <c r="JU458" t="s">
        <v>1</v>
      </c>
      <c r="JW458" t="s">
        <v>1</v>
      </c>
      <c r="JX458">
        <v>0</v>
      </c>
      <c r="JY458">
        <v>90</v>
      </c>
      <c r="JZ458" t="s">
        <v>796</v>
      </c>
      <c r="KA458" t="s">
        <v>198</v>
      </c>
      <c r="KB458" t="s">
        <v>738</v>
      </c>
      <c r="KC458" t="s">
        <v>1</v>
      </c>
      <c r="KD458" t="s">
        <v>1</v>
      </c>
      <c r="KE458" t="s">
        <v>1</v>
      </c>
      <c r="KF458" t="s">
        <v>1</v>
      </c>
      <c r="KG458" t="s">
        <v>1</v>
      </c>
      <c r="KH458" t="s">
        <v>1</v>
      </c>
      <c r="KI458" t="s">
        <v>1</v>
      </c>
      <c r="KJ458" t="s">
        <v>1</v>
      </c>
      <c r="KK458" t="s">
        <v>1</v>
      </c>
    </row>
    <row r="459" spans="1:297" x14ac:dyDescent="0.2">
      <c r="A459">
        <v>427</v>
      </c>
      <c r="B459" t="s">
        <v>705</v>
      </c>
      <c r="C459" t="s">
        <v>527</v>
      </c>
      <c r="D459" t="s">
        <v>522</v>
      </c>
      <c r="E459">
        <v>75</v>
      </c>
      <c r="F459" t="s">
        <v>523</v>
      </c>
      <c r="G459" t="s">
        <v>1</v>
      </c>
      <c r="H459" s="26" t="s">
        <v>1420</v>
      </c>
      <c r="I459" t="s">
        <v>1</v>
      </c>
      <c r="J459" t="s">
        <v>1</v>
      </c>
      <c r="K459" t="s">
        <v>1</v>
      </c>
      <c r="L459" t="s">
        <v>1</v>
      </c>
      <c r="M459" t="s">
        <v>1</v>
      </c>
      <c r="N459" t="s">
        <v>1</v>
      </c>
      <c r="O459" t="s">
        <v>1</v>
      </c>
      <c r="P459" t="s">
        <v>1</v>
      </c>
      <c r="Q459" t="s">
        <v>1</v>
      </c>
      <c r="R459" t="s">
        <v>1</v>
      </c>
      <c r="S459" t="s">
        <v>1</v>
      </c>
      <c r="T459" t="s">
        <v>1</v>
      </c>
      <c r="U459" t="s">
        <v>1</v>
      </c>
      <c r="V459" t="s">
        <v>1</v>
      </c>
      <c r="W459" t="s">
        <v>1</v>
      </c>
      <c r="X459" t="s">
        <v>1</v>
      </c>
      <c r="Y459" t="s">
        <v>1</v>
      </c>
      <c r="Z459" t="s">
        <v>1</v>
      </c>
      <c r="AA459" t="s">
        <v>1</v>
      </c>
      <c r="AB459" t="s">
        <v>1</v>
      </c>
      <c r="AC459" t="s">
        <v>1</v>
      </c>
      <c r="AD459" t="s">
        <v>1</v>
      </c>
      <c r="AE459" t="s">
        <v>1</v>
      </c>
      <c r="AF459" t="s">
        <v>1</v>
      </c>
      <c r="AG459" t="s">
        <v>1</v>
      </c>
      <c r="AH459" t="s">
        <v>1</v>
      </c>
      <c r="AI459" t="s">
        <v>1</v>
      </c>
      <c r="AJ459" t="s">
        <v>1</v>
      </c>
      <c r="AK459" t="s">
        <v>1</v>
      </c>
      <c r="AL459" t="s">
        <v>1</v>
      </c>
      <c r="AM459" t="s">
        <v>1</v>
      </c>
      <c r="AN459">
        <v>427</v>
      </c>
      <c r="AO459">
        <f t="shared" si="59"/>
        <v>427</v>
      </c>
      <c r="AP459">
        <f t="shared" si="62"/>
        <v>75</v>
      </c>
      <c r="AQ459">
        <f t="shared" si="61"/>
        <v>75</v>
      </c>
      <c r="AR459" s="26" t="s">
        <v>1355</v>
      </c>
      <c r="AS459" s="26" t="s">
        <v>1356</v>
      </c>
      <c r="AT459" t="s">
        <v>726</v>
      </c>
      <c r="AU459" t="s">
        <v>1</v>
      </c>
      <c r="AV459" t="s">
        <v>1</v>
      </c>
      <c r="AW459">
        <v>44.66</v>
      </c>
      <c r="AX459">
        <v>10.95</v>
      </c>
      <c r="AY459" t="s">
        <v>737</v>
      </c>
      <c r="BA459" s="3">
        <v>3</v>
      </c>
      <c r="BB459" s="3"/>
      <c r="BC459" s="3"/>
      <c r="BD459" s="3"/>
      <c r="BE459" s="3"/>
      <c r="BF459">
        <v>1979</v>
      </c>
      <c r="BG459" s="24" t="s">
        <v>733</v>
      </c>
      <c r="BH459" s="24" t="s">
        <v>733</v>
      </c>
      <c r="BI459" s="24" t="s">
        <v>733</v>
      </c>
      <c r="BJ459" s="24" t="s">
        <v>732</v>
      </c>
      <c r="BK459" s="24" t="s">
        <v>733</v>
      </c>
      <c r="BL459" s="25" t="s">
        <v>733</v>
      </c>
      <c r="BM459" s="24" t="s">
        <v>733</v>
      </c>
      <c r="BN459" s="24" t="s">
        <v>732</v>
      </c>
      <c r="BO459" s="24" t="s">
        <v>733</v>
      </c>
      <c r="BP459" s="24" t="s">
        <v>733</v>
      </c>
      <c r="BQ459" s="24" t="s">
        <v>945</v>
      </c>
      <c r="BR459" s="24" t="s">
        <v>945</v>
      </c>
      <c r="BS459" s="25" t="s">
        <v>934</v>
      </c>
      <c r="BT459" s="24" t="s">
        <v>934</v>
      </c>
      <c r="BU459" s="24" t="s">
        <v>934</v>
      </c>
      <c r="BV459" s="24" t="s">
        <v>934</v>
      </c>
      <c r="BW459" s="24" t="s">
        <v>934</v>
      </c>
      <c r="BX459" s="24" t="s">
        <v>934</v>
      </c>
      <c r="BY459" s="25" t="s">
        <v>945</v>
      </c>
      <c r="BZ459" t="s">
        <v>788</v>
      </c>
      <c r="CB459" t="s">
        <v>525</v>
      </c>
      <c r="CC459" s="4" t="s">
        <v>1</v>
      </c>
      <c r="CD459" s="4"/>
      <c r="CE459" s="4"/>
      <c r="CF459" t="s">
        <v>1</v>
      </c>
      <c r="CG459" t="s">
        <v>1</v>
      </c>
      <c r="CH459" t="s">
        <v>805</v>
      </c>
      <c r="CI459" s="28">
        <v>0.9</v>
      </c>
      <c r="CJ459" s="9" t="s">
        <v>1</v>
      </c>
      <c r="CK459" s="9" t="s">
        <v>1</v>
      </c>
      <c r="CL459" s="4" t="s">
        <v>1</v>
      </c>
      <c r="CM459" t="s">
        <v>847</v>
      </c>
      <c r="CN459" s="4">
        <v>228.54</v>
      </c>
      <c r="CO459" s="4" t="s">
        <v>1</v>
      </c>
      <c r="CP459" s="4" t="s">
        <v>1</v>
      </c>
      <c r="CQ459" s="4" t="s">
        <v>1</v>
      </c>
      <c r="CR459" s="4" t="s">
        <v>1</v>
      </c>
      <c r="CS459" s="4" t="s">
        <v>1</v>
      </c>
      <c r="CT459" s="4" t="s">
        <v>1</v>
      </c>
      <c r="CU459" s="4" t="s">
        <v>1</v>
      </c>
      <c r="CV459" t="s">
        <v>853</v>
      </c>
      <c r="CW459">
        <v>100</v>
      </c>
      <c r="CX459">
        <v>0</v>
      </c>
      <c r="CY459">
        <v>25</v>
      </c>
      <c r="CZ459" s="26" t="s">
        <v>1358</v>
      </c>
      <c r="DA459" t="s">
        <v>734</v>
      </c>
      <c r="DB459">
        <v>97.6</v>
      </c>
      <c r="DC459">
        <v>0</v>
      </c>
      <c r="DD459">
        <v>25</v>
      </c>
      <c r="DE459" s="26" t="s">
        <v>1358</v>
      </c>
      <c r="DF459" t="s">
        <v>735</v>
      </c>
      <c r="DG459">
        <v>1.2</v>
      </c>
      <c r="DH459">
        <v>0</v>
      </c>
      <c r="DI459">
        <v>25</v>
      </c>
      <c r="DJ459" s="26" t="s">
        <v>1358</v>
      </c>
      <c r="DK459" t="s">
        <v>736</v>
      </c>
      <c r="DL459">
        <v>1.2</v>
      </c>
      <c r="DM459">
        <v>0</v>
      </c>
      <c r="DN459">
        <v>25</v>
      </c>
      <c r="DO459" s="26" t="s">
        <v>1358</v>
      </c>
      <c r="DP459" t="s">
        <v>1</v>
      </c>
      <c r="DQ459" t="s">
        <v>1</v>
      </c>
      <c r="DR459" t="s">
        <v>1</v>
      </c>
      <c r="DS459" t="s">
        <v>1</v>
      </c>
      <c r="DT459" t="s">
        <v>1</v>
      </c>
      <c r="DU459" t="s">
        <v>1</v>
      </c>
      <c r="EA459" t="s">
        <v>982</v>
      </c>
      <c r="EB459">
        <v>0.3</v>
      </c>
      <c r="EC459">
        <v>0</v>
      </c>
      <c r="ED459">
        <v>25</v>
      </c>
      <c r="EE459" s="26" t="s">
        <v>1358</v>
      </c>
      <c r="EF459" s="26"/>
      <c r="FZ459" t="s">
        <v>806</v>
      </c>
      <c r="GA459">
        <v>867.32500000000005</v>
      </c>
      <c r="GE459" s="26" t="s">
        <v>1358</v>
      </c>
      <c r="HA459" s="5" t="s">
        <v>1</v>
      </c>
      <c r="HB459" s="4" t="s">
        <v>1</v>
      </c>
      <c r="HC459" t="s">
        <v>1</v>
      </c>
      <c r="HD459" t="s">
        <v>1</v>
      </c>
      <c r="HE459" t="s">
        <v>1</v>
      </c>
      <c r="HF459" s="5" t="s">
        <v>1063</v>
      </c>
      <c r="HG459" s="4">
        <v>0.1</v>
      </c>
      <c r="HH459">
        <v>0</v>
      </c>
      <c r="HI459">
        <v>25</v>
      </c>
      <c r="HJ459" s="26" t="s">
        <v>1358</v>
      </c>
      <c r="HK459" t="s">
        <v>815</v>
      </c>
      <c r="HL459">
        <v>1.45</v>
      </c>
      <c r="HM459">
        <v>0</v>
      </c>
      <c r="HN459">
        <v>25</v>
      </c>
      <c r="HO459" t="s">
        <v>1</v>
      </c>
      <c r="HP459" s="26" t="s">
        <v>1358</v>
      </c>
      <c r="HZ459" t="s">
        <v>1</v>
      </c>
      <c r="IA459" t="s">
        <v>1</v>
      </c>
      <c r="IB459" s="10" t="s">
        <v>1</v>
      </c>
      <c r="IC459" s="10"/>
      <c r="ID459" s="10"/>
      <c r="IE459" s="10" t="s">
        <v>1</v>
      </c>
      <c r="IF459" s="10" t="s">
        <v>1</v>
      </c>
      <c r="IG459" s="10"/>
      <c r="IH459" s="10"/>
      <c r="II459" s="10"/>
      <c r="IJ459" s="10"/>
      <c r="IK459" s="10"/>
      <c r="IL459" s="10"/>
      <c r="IM459" s="10"/>
      <c r="IN459" s="10"/>
      <c r="IO459" s="10"/>
      <c r="IP459" s="10"/>
      <c r="IQ459" s="10"/>
      <c r="IR459" s="10"/>
      <c r="IS459" t="s">
        <v>1</v>
      </c>
      <c r="IT459" t="s">
        <v>1</v>
      </c>
      <c r="IW459" t="s">
        <v>979</v>
      </c>
      <c r="IX459">
        <v>553</v>
      </c>
      <c r="IY459" t="s">
        <v>808</v>
      </c>
      <c r="IZ459">
        <v>1675</v>
      </c>
      <c r="JA459" t="s">
        <v>1</v>
      </c>
      <c r="JB459" s="3" t="s">
        <v>1</v>
      </c>
      <c r="JC459" t="s">
        <v>1</v>
      </c>
      <c r="JD459" s="4" t="s">
        <v>1</v>
      </c>
      <c r="JE459" t="s">
        <v>1</v>
      </c>
      <c r="JF459" t="s">
        <v>1</v>
      </c>
      <c r="JR459" t="s">
        <v>1066</v>
      </c>
      <c r="JS459">
        <v>654</v>
      </c>
      <c r="JU459" t="s">
        <v>1</v>
      </c>
      <c r="JW459" t="s">
        <v>1</v>
      </c>
      <c r="JX459">
        <v>0</v>
      </c>
      <c r="JY459">
        <v>90</v>
      </c>
      <c r="JZ459" t="s">
        <v>796</v>
      </c>
      <c r="KA459" t="s">
        <v>198</v>
      </c>
      <c r="KB459" t="s">
        <v>738</v>
      </c>
      <c r="KC459" t="s">
        <v>1</v>
      </c>
      <c r="KD459" t="s">
        <v>1</v>
      </c>
      <c r="KE459" t="s">
        <v>1</v>
      </c>
      <c r="KF459" t="s">
        <v>1</v>
      </c>
      <c r="KG459" t="s">
        <v>1</v>
      </c>
      <c r="KH459" t="s">
        <v>1</v>
      </c>
      <c r="KI459" t="s">
        <v>1</v>
      </c>
      <c r="KJ459" t="s">
        <v>1</v>
      </c>
      <c r="KK459" t="s">
        <v>1</v>
      </c>
    </row>
    <row r="460" spans="1:297" x14ac:dyDescent="0.2">
      <c r="A460">
        <v>428</v>
      </c>
      <c r="B460" t="s">
        <v>705</v>
      </c>
      <c r="C460" t="s">
        <v>528</v>
      </c>
      <c r="D460" t="s">
        <v>522</v>
      </c>
      <c r="E460">
        <v>75</v>
      </c>
      <c r="F460" t="s">
        <v>523</v>
      </c>
      <c r="G460" t="s">
        <v>1</v>
      </c>
      <c r="H460" s="26" t="s">
        <v>1420</v>
      </c>
      <c r="I460" t="s">
        <v>1</v>
      </c>
      <c r="J460" t="s">
        <v>1</v>
      </c>
      <c r="K460" t="s">
        <v>1</v>
      </c>
      <c r="L460" t="s">
        <v>1</v>
      </c>
      <c r="M460" t="s">
        <v>1</v>
      </c>
      <c r="N460" t="s">
        <v>1</v>
      </c>
      <c r="O460" t="s">
        <v>1</v>
      </c>
      <c r="P460" t="s">
        <v>1</v>
      </c>
      <c r="Q460" t="s">
        <v>1</v>
      </c>
      <c r="R460" t="s">
        <v>1</v>
      </c>
      <c r="S460" t="s">
        <v>1</v>
      </c>
      <c r="T460" t="s">
        <v>1</v>
      </c>
      <c r="U460" t="s">
        <v>1</v>
      </c>
      <c r="V460" t="s">
        <v>1</v>
      </c>
      <c r="W460" t="s">
        <v>1</v>
      </c>
      <c r="X460" t="s">
        <v>1</v>
      </c>
      <c r="Y460" t="s">
        <v>1</v>
      </c>
      <c r="Z460" t="s">
        <v>1</v>
      </c>
      <c r="AA460" t="s">
        <v>1</v>
      </c>
      <c r="AB460" t="s">
        <v>1</v>
      </c>
      <c r="AC460" t="s">
        <v>1</v>
      </c>
      <c r="AD460" t="s">
        <v>1</v>
      </c>
      <c r="AE460" t="s">
        <v>1</v>
      </c>
      <c r="AF460" t="s">
        <v>1</v>
      </c>
      <c r="AG460" t="s">
        <v>1</v>
      </c>
      <c r="AH460" t="s">
        <v>1</v>
      </c>
      <c r="AI460" t="s">
        <v>1</v>
      </c>
      <c r="AJ460" t="s">
        <v>1</v>
      </c>
      <c r="AK460" t="s">
        <v>1</v>
      </c>
      <c r="AL460" t="s">
        <v>1</v>
      </c>
      <c r="AM460" t="s">
        <v>1</v>
      </c>
      <c r="AN460">
        <v>428</v>
      </c>
      <c r="AO460">
        <f t="shared" si="59"/>
        <v>428</v>
      </c>
      <c r="AP460">
        <f t="shared" si="62"/>
        <v>75</v>
      </c>
      <c r="AQ460">
        <f t="shared" si="61"/>
        <v>75</v>
      </c>
      <c r="AR460" s="26" t="s">
        <v>1355</v>
      </c>
      <c r="AS460" s="26" t="s">
        <v>1356</v>
      </c>
      <c r="AT460" t="s">
        <v>726</v>
      </c>
      <c r="AU460" t="s">
        <v>1</v>
      </c>
      <c r="AV460" t="s">
        <v>1</v>
      </c>
      <c r="AW460">
        <v>44.66</v>
      </c>
      <c r="AX460">
        <v>10.95</v>
      </c>
      <c r="AY460" t="s">
        <v>737</v>
      </c>
      <c r="BA460" s="3">
        <v>3</v>
      </c>
      <c r="BB460" s="3"/>
      <c r="BC460" s="3"/>
      <c r="BD460" s="3"/>
      <c r="BE460" s="3"/>
      <c r="BF460">
        <v>1979</v>
      </c>
      <c r="BG460" s="24" t="s">
        <v>733</v>
      </c>
      <c r="BH460" s="24" t="s">
        <v>733</v>
      </c>
      <c r="BI460" s="24" t="s">
        <v>733</v>
      </c>
      <c r="BJ460" s="24" t="s">
        <v>732</v>
      </c>
      <c r="BK460" s="24" t="s">
        <v>733</v>
      </c>
      <c r="BL460" s="25" t="s">
        <v>733</v>
      </c>
      <c r="BM460" s="24" t="s">
        <v>733</v>
      </c>
      <c r="BN460" s="24" t="s">
        <v>732</v>
      </c>
      <c r="BO460" s="24" t="s">
        <v>733</v>
      </c>
      <c r="BP460" s="24" t="s">
        <v>733</v>
      </c>
      <c r="BQ460" s="24" t="s">
        <v>945</v>
      </c>
      <c r="BR460" s="24" t="s">
        <v>945</v>
      </c>
      <c r="BS460" s="25" t="s">
        <v>934</v>
      </c>
      <c r="BT460" s="24" t="s">
        <v>934</v>
      </c>
      <c r="BU460" s="24" t="s">
        <v>934</v>
      </c>
      <c r="BV460" s="24" t="s">
        <v>934</v>
      </c>
      <c r="BW460" s="24" t="s">
        <v>934</v>
      </c>
      <c r="BX460" s="24" t="s">
        <v>934</v>
      </c>
      <c r="BY460" s="25" t="s">
        <v>945</v>
      </c>
      <c r="BZ460" t="s">
        <v>788</v>
      </c>
      <c r="CB460" t="s">
        <v>525</v>
      </c>
      <c r="CC460" s="4" t="s">
        <v>1</v>
      </c>
      <c r="CD460" s="4"/>
      <c r="CE460" s="4"/>
      <c r="CF460" t="s">
        <v>1</v>
      </c>
      <c r="CG460" t="s">
        <v>1</v>
      </c>
      <c r="CH460" t="s">
        <v>805</v>
      </c>
      <c r="CI460" s="28">
        <v>0.9</v>
      </c>
      <c r="CJ460" s="9" t="s">
        <v>1</v>
      </c>
      <c r="CK460" s="9" t="s">
        <v>1</v>
      </c>
      <c r="CL460" s="4" t="s">
        <v>1</v>
      </c>
      <c r="CM460" t="s">
        <v>847</v>
      </c>
      <c r="CN460" s="4">
        <v>302.33</v>
      </c>
      <c r="CO460" s="4" t="s">
        <v>1</v>
      </c>
      <c r="CP460" s="4" t="s">
        <v>1</v>
      </c>
      <c r="CQ460" s="4" t="s">
        <v>1</v>
      </c>
      <c r="CR460" s="4" t="s">
        <v>1</v>
      </c>
      <c r="CS460" s="4" t="s">
        <v>1</v>
      </c>
      <c r="CT460" s="4" t="s">
        <v>1</v>
      </c>
      <c r="CU460" s="4" t="s">
        <v>1</v>
      </c>
      <c r="CV460" t="s">
        <v>853</v>
      </c>
      <c r="CW460">
        <v>100</v>
      </c>
      <c r="CX460">
        <v>0</v>
      </c>
      <c r="CY460">
        <v>25</v>
      </c>
      <c r="CZ460" s="26" t="s">
        <v>1358</v>
      </c>
      <c r="DA460" t="s">
        <v>734</v>
      </c>
      <c r="DB460">
        <v>97.6</v>
      </c>
      <c r="DC460">
        <v>0</v>
      </c>
      <c r="DD460">
        <v>25</v>
      </c>
      <c r="DE460" s="26" t="s">
        <v>1358</v>
      </c>
      <c r="DF460" t="s">
        <v>735</v>
      </c>
      <c r="DG460">
        <v>1.2</v>
      </c>
      <c r="DH460">
        <v>0</v>
      </c>
      <c r="DI460">
        <v>25</v>
      </c>
      <c r="DJ460" s="26" t="s">
        <v>1358</v>
      </c>
      <c r="DK460" t="s">
        <v>736</v>
      </c>
      <c r="DL460">
        <v>1.2</v>
      </c>
      <c r="DM460">
        <v>0</v>
      </c>
      <c r="DN460">
        <v>25</v>
      </c>
      <c r="DO460" s="26" t="s">
        <v>1358</v>
      </c>
      <c r="DP460" t="s">
        <v>1</v>
      </c>
      <c r="DQ460" t="s">
        <v>1</v>
      </c>
      <c r="DR460" t="s">
        <v>1</v>
      </c>
      <c r="DS460" t="s">
        <v>1</v>
      </c>
      <c r="DT460" t="s">
        <v>1</v>
      </c>
      <c r="DU460" t="s">
        <v>1</v>
      </c>
      <c r="EA460" t="s">
        <v>982</v>
      </c>
      <c r="EB460">
        <v>0.3</v>
      </c>
      <c r="EC460">
        <v>0</v>
      </c>
      <c r="ED460">
        <v>25</v>
      </c>
      <c r="EE460" s="26" t="s">
        <v>1358</v>
      </c>
      <c r="EF460" s="26"/>
      <c r="FZ460" t="s">
        <v>806</v>
      </c>
      <c r="GA460">
        <v>867.32500000000005</v>
      </c>
      <c r="GE460" s="26" t="s">
        <v>1358</v>
      </c>
      <c r="HA460" s="5" t="s">
        <v>1</v>
      </c>
      <c r="HB460" s="4" t="s">
        <v>1</v>
      </c>
      <c r="HC460" t="s">
        <v>1</v>
      </c>
      <c r="HD460" t="s">
        <v>1</v>
      </c>
      <c r="HE460" t="s">
        <v>1</v>
      </c>
      <c r="HF460" s="5" t="s">
        <v>1063</v>
      </c>
      <c r="HG460" s="4">
        <v>0.1</v>
      </c>
      <c r="HH460">
        <v>0</v>
      </c>
      <c r="HI460">
        <v>25</v>
      </c>
      <c r="HJ460" s="26" t="s">
        <v>1358</v>
      </c>
      <c r="HK460" t="s">
        <v>815</v>
      </c>
      <c r="HL460">
        <v>1.45</v>
      </c>
      <c r="HM460">
        <v>0</v>
      </c>
      <c r="HN460">
        <v>25</v>
      </c>
      <c r="HO460" t="s">
        <v>1</v>
      </c>
      <c r="HP460" s="26" t="s">
        <v>1358</v>
      </c>
      <c r="HZ460" t="s">
        <v>1</v>
      </c>
      <c r="IA460" t="s">
        <v>1</v>
      </c>
      <c r="IB460" s="10" t="s">
        <v>1</v>
      </c>
      <c r="IC460" s="10"/>
      <c r="ID460" s="10"/>
      <c r="IE460" s="10" t="s">
        <v>1</v>
      </c>
      <c r="IF460" s="10" t="s">
        <v>1</v>
      </c>
      <c r="IG460" s="10"/>
      <c r="IH460" s="10"/>
      <c r="II460" s="10"/>
      <c r="IJ460" s="10"/>
      <c r="IK460" s="10"/>
      <c r="IL460" s="10"/>
      <c r="IM460" s="10"/>
      <c r="IN460" s="10"/>
      <c r="IO460" s="10"/>
      <c r="IP460" s="10"/>
      <c r="IQ460" s="10"/>
      <c r="IR460" s="10"/>
      <c r="IS460" t="s">
        <v>1</v>
      </c>
      <c r="IT460" t="s">
        <v>1</v>
      </c>
      <c r="IW460" t="s">
        <v>979</v>
      </c>
      <c r="IX460">
        <v>832</v>
      </c>
      <c r="IY460" t="s">
        <v>808</v>
      </c>
      <c r="IZ460">
        <v>1675</v>
      </c>
      <c r="JA460" t="s">
        <v>1</v>
      </c>
      <c r="JB460" s="3" t="s">
        <v>1</v>
      </c>
      <c r="JC460" t="s">
        <v>1</v>
      </c>
      <c r="JD460" s="4" t="s">
        <v>1</v>
      </c>
      <c r="JE460" t="s">
        <v>1</v>
      </c>
      <c r="JF460" t="s">
        <v>1</v>
      </c>
      <c r="JR460" t="s">
        <v>1066</v>
      </c>
      <c r="JS460">
        <v>816.1</v>
      </c>
      <c r="JU460" t="s">
        <v>1</v>
      </c>
      <c r="JW460" t="s">
        <v>1</v>
      </c>
      <c r="JX460">
        <v>0</v>
      </c>
      <c r="JY460">
        <v>90</v>
      </c>
      <c r="JZ460" t="s">
        <v>796</v>
      </c>
      <c r="KA460" t="s">
        <v>198</v>
      </c>
      <c r="KB460" t="s">
        <v>738</v>
      </c>
      <c r="KC460" t="s">
        <v>1</v>
      </c>
      <c r="KD460" t="s">
        <v>1</v>
      </c>
      <c r="KE460" t="s">
        <v>1</v>
      </c>
      <c r="KF460" t="s">
        <v>1</v>
      </c>
      <c r="KG460" t="s">
        <v>1</v>
      </c>
      <c r="KH460" t="s">
        <v>1</v>
      </c>
      <c r="KI460" t="s">
        <v>1</v>
      </c>
      <c r="KJ460" t="s">
        <v>1</v>
      </c>
      <c r="KK460" t="s">
        <v>1</v>
      </c>
    </row>
    <row r="461" spans="1:297" x14ac:dyDescent="0.2">
      <c r="A461">
        <v>429</v>
      </c>
      <c r="B461" t="s">
        <v>705</v>
      </c>
      <c r="C461" t="s">
        <v>529</v>
      </c>
      <c r="D461" t="s">
        <v>522</v>
      </c>
      <c r="E461">
        <v>75</v>
      </c>
      <c r="F461" t="s">
        <v>523</v>
      </c>
      <c r="G461" t="s">
        <v>1</v>
      </c>
      <c r="H461" s="26" t="s">
        <v>1420</v>
      </c>
      <c r="I461" t="s">
        <v>1</v>
      </c>
      <c r="J461" t="s">
        <v>1</v>
      </c>
      <c r="K461" t="s">
        <v>1</v>
      </c>
      <c r="L461" t="s">
        <v>1</v>
      </c>
      <c r="M461" t="s">
        <v>1</v>
      </c>
      <c r="N461" t="s">
        <v>1</v>
      </c>
      <c r="O461" t="s">
        <v>1</v>
      </c>
      <c r="P461" t="s">
        <v>1</v>
      </c>
      <c r="Q461" t="s">
        <v>1</v>
      </c>
      <c r="R461" t="s">
        <v>1</v>
      </c>
      <c r="S461" t="s">
        <v>1</v>
      </c>
      <c r="T461" t="s">
        <v>1</v>
      </c>
      <c r="U461" t="s">
        <v>1</v>
      </c>
      <c r="V461" t="s">
        <v>1</v>
      </c>
      <c r="W461" t="s">
        <v>1</v>
      </c>
      <c r="X461" t="s">
        <v>1</v>
      </c>
      <c r="Y461" t="s">
        <v>1</v>
      </c>
      <c r="Z461" t="s">
        <v>1</v>
      </c>
      <c r="AA461" t="s">
        <v>1</v>
      </c>
      <c r="AB461" t="s">
        <v>1</v>
      </c>
      <c r="AC461" t="s">
        <v>1</v>
      </c>
      <c r="AD461" t="s">
        <v>1</v>
      </c>
      <c r="AE461" t="s">
        <v>1</v>
      </c>
      <c r="AF461" t="s">
        <v>1</v>
      </c>
      <c r="AG461" t="s">
        <v>1</v>
      </c>
      <c r="AH461" t="s">
        <v>1</v>
      </c>
      <c r="AI461" t="s">
        <v>1</v>
      </c>
      <c r="AJ461" t="s">
        <v>1</v>
      </c>
      <c r="AK461" t="s">
        <v>1</v>
      </c>
      <c r="AL461" t="s">
        <v>1</v>
      </c>
      <c r="AM461" t="s">
        <v>1</v>
      </c>
      <c r="AN461">
        <v>429</v>
      </c>
      <c r="AO461">
        <f t="shared" si="59"/>
        <v>429</v>
      </c>
      <c r="AP461">
        <f t="shared" si="62"/>
        <v>75</v>
      </c>
      <c r="AQ461">
        <f t="shared" si="61"/>
        <v>75</v>
      </c>
      <c r="AR461" s="26" t="s">
        <v>1355</v>
      </c>
      <c r="AS461" s="26" t="s">
        <v>1356</v>
      </c>
      <c r="AT461" t="s">
        <v>726</v>
      </c>
      <c r="AU461" t="s">
        <v>1</v>
      </c>
      <c r="AV461" t="s">
        <v>1</v>
      </c>
      <c r="AW461">
        <v>44.49</v>
      </c>
      <c r="AX461">
        <v>11.01</v>
      </c>
      <c r="AY461" t="s">
        <v>737</v>
      </c>
      <c r="BA461" s="3">
        <v>3</v>
      </c>
      <c r="BB461" s="3"/>
      <c r="BC461" s="3"/>
      <c r="BD461" s="3"/>
      <c r="BE461" s="3"/>
      <c r="BF461">
        <v>1979</v>
      </c>
      <c r="BG461" s="24" t="s">
        <v>733</v>
      </c>
      <c r="BH461" s="24" t="s">
        <v>733</v>
      </c>
      <c r="BI461" s="24" t="s">
        <v>733</v>
      </c>
      <c r="BJ461" s="24" t="s">
        <v>732</v>
      </c>
      <c r="BK461" s="24" t="s">
        <v>733</v>
      </c>
      <c r="BL461" s="25" t="s">
        <v>733</v>
      </c>
      <c r="BM461" s="24" t="s">
        <v>733</v>
      </c>
      <c r="BN461" s="24" t="s">
        <v>732</v>
      </c>
      <c r="BO461" s="24" t="s">
        <v>733</v>
      </c>
      <c r="BP461" s="24" t="s">
        <v>733</v>
      </c>
      <c r="BQ461" s="24" t="s">
        <v>945</v>
      </c>
      <c r="BR461" s="24" t="s">
        <v>945</v>
      </c>
      <c r="BS461" s="25" t="s">
        <v>934</v>
      </c>
      <c r="BT461" s="24" t="s">
        <v>934</v>
      </c>
      <c r="BU461" s="24" t="s">
        <v>934</v>
      </c>
      <c r="BV461" s="24" t="s">
        <v>934</v>
      </c>
      <c r="BW461" s="24" t="s">
        <v>934</v>
      </c>
      <c r="BX461" s="24" t="s">
        <v>934</v>
      </c>
      <c r="BY461" s="25" t="s">
        <v>945</v>
      </c>
      <c r="BZ461" t="s">
        <v>788</v>
      </c>
      <c r="CB461" t="s">
        <v>525</v>
      </c>
      <c r="CC461" s="4" t="s">
        <v>1</v>
      </c>
      <c r="CD461" s="4"/>
      <c r="CE461" s="4"/>
      <c r="CF461" t="s">
        <v>1</v>
      </c>
      <c r="CG461" t="s">
        <v>1</v>
      </c>
      <c r="CH461" t="s">
        <v>805</v>
      </c>
      <c r="CI461" s="28">
        <v>0.9</v>
      </c>
      <c r="CJ461" s="9" t="s">
        <v>1</v>
      </c>
      <c r="CK461" s="9" t="s">
        <v>1</v>
      </c>
      <c r="CL461" s="4" t="s">
        <v>1</v>
      </c>
      <c r="CM461" t="s">
        <v>847</v>
      </c>
      <c r="CN461" s="4">
        <v>169.27</v>
      </c>
      <c r="CO461" s="4" t="s">
        <v>1</v>
      </c>
      <c r="CP461" s="4" t="s">
        <v>1</v>
      </c>
      <c r="CQ461" s="4" t="s">
        <v>1</v>
      </c>
      <c r="CR461" s="4" t="s">
        <v>1</v>
      </c>
      <c r="CS461" s="4" t="s">
        <v>1</v>
      </c>
      <c r="CT461" s="4" t="s">
        <v>1</v>
      </c>
      <c r="CU461" s="4" t="s">
        <v>1</v>
      </c>
      <c r="CV461" s="37" t="s">
        <v>855</v>
      </c>
      <c r="CW461">
        <v>100</v>
      </c>
      <c r="CX461">
        <v>0</v>
      </c>
      <c r="CY461">
        <v>25</v>
      </c>
      <c r="CZ461" s="26" t="s">
        <v>1358</v>
      </c>
      <c r="DA461" t="s">
        <v>734</v>
      </c>
      <c r="DB461">
        <v>56.5</v>
      </c>
      <c r="DC461">
        <v>0</v>
      </c>
      <c r="DD461">
        <v>25</v>
      </c>
      <c r="DE461" s="26" t="s">
        <v>1358</v>
      </c>
      <c r="DF461" t="s">
        <v>735</v>
      </c>
      <c r="DG461">
        <v>32.6</v>
      </c>
      <c r="DH461">
        <v>0</v>
      </c>
      <c r="DI461">
        <v>25</v>
      </c>
      <c r="DJ461" s="26" t="s">
        <v>1358</v>
      </c>
      <c r="DK461" t="s">
        <v>736</v>
      </c>
      <c r="DL461">
        <v>10.9</v>
      </c>
      <c r="DM461">
        <v>0</v>
      </c>
      <c r="DN461">
        <v>25</v>
      </c>
      <c r="DO461" s="26" t="s">
        <v>1358</v>
      </c>
      <c r="DP461" t="s">
        <v>1</v>
      </c>
      <c r="DQ461" t="s">
        <v>1</v>
      </c>
      <c r="DR461" t="s">
        <v>1</v>
      </c>
      <c r="DS461" t="s">
        <v>1</v>
      </c>
      <c r="DT461" t="s">
        <v>1</v>
      </c>
      <c r="DU461" t="s">
        <v>1</v>
      </c>
      <c r="EA461" t="s">
        <v>982</v>
      </c>
      <c r="EB461">
        <v>9.3000000000000007</v>
      </c>
      <c r="EC461">
        <v>0</v>
      </c>
      <c r="ED461">
        <v>25</v>
      </c>
      <c r="EE461" s="26" t="s">
        <v>1358</v>
      </c>
      <c r="EF461" s="26"/>
      <c r="FZ461" t="s">
        <v>806</v>
      </c>
      <c r="GA461">
        <v>867.32500000000005</v>
      </c>
      <c r="GE461" s="26" t="s">
        <v>1358</v>
      </c>
      <c r="HA461" s="5" t="s">
        <v>1</v>
      </c>
      <c r="HB461" s="4" t="s">
        <v>1</v>
      </c>
      <c r="HC461" t="s">
        <v>1</v>
      </c>
      <c r="HD461" t="s">
        <v>1</v>
      </c>
      <c r="HE461" t="s">
        <v>1</v>
      </c>
      <c r="HF461" s="5" t="s">
        <v>1063</v>
      </c>
      <c r="HG461" s="4">
        <v>1.25</v>
      </c>
      <c r="HH461">
        <v>0</v>
      </c>
      <c r="HI461">
        <v>25</v>
      </c>
      <c r="HJ461" s="26" t="s">
        <v>1358</v>
      </c>
      <c r="HK461" t="s">
        <v>815</v>
      </c>
      <c r="HL461">
        <v>1.32</v>
      </c>
      <c r="HM461">
        <v>0</v>
      </c>
      <c r="HN461">
        <v>25</v>
      </c>
      <c r="HO461" t="s">
        <v>1</v>
      </c>
      <c r="HP461" s="26" t="s">
        <v>1358</v>
      </c>
      <c r="HZ461" t="s">
        <v>1</v>
      </c>
      <c r="IA461" t="s">
        <v>1</v>
      </c>
      <c r="IB461" s="10" t="s">
        <v>1</v>
      </c>
      <c r="IC461" s="10"/>
      <c r="ID461" s="10"/>
      <c r="IE461" s="10" t="s">
        <v>1</v>
      </c>
      <c r="IF461" s="10" t="s">
        <v>1</v>
      </c>
      <c r="IG461" s="10"/>
      <c r="IH461" s="10"/>
      <c r="II461" s="10"/>
      <c r="IJ461" s="10"/>
      <c r="IK461" s="10"/>
      <c r="IL461" s="10"/>
      <c r="IM461" s="10"/>
      <c r="IN461" s="10"/>
      <c r="IO461" s="10"/>
      <c r="IP461" s="10"/>
      <c r="IQ461" s="10"/>
      <c r="IR461" s="10"/>
      <c r="IS461" t="s">
        <v>1</v>
      </c>
      <c r="IT461" t="s">
        <v>1</v>
      </c>
      <c r="IW461" t="s">
        <v>1</v>
      </c>
      <c r="IX461" t="s">
        <v>1</v>
      </c>
      <c r="IY461" t="s">
        <v>808</v>
      </c>
      <c r="IZ461">
        <v>1675</v>
      </c>
      <c r="JA461" t="s">
        <v>1</v>
      </c>
      <c r="JB461" s="3" t="s">
        <v>1</v>
      </c>
      <c r="JC461" t="s">
        <v>1</v>
      </c>
      <c r="JD461" s="4" t="s">
        <v>1</v>
      </c>
      <c r="JE461" t="s">
        <v>1</v>
      </c>
      <c r="JF461" t="s">
        <v>1</v>
      </c>
      <c r="JR461" t="s">
        <v>1066</v>
      </c>
      <c r="JS461">
        <v>147.30000000000001</v>
      </c>
      <c r="JU461" t="s">
        <v>1</v>
      </c>
      <c r="JW461" t="s">
        <v>1</v>
      </c>
      <c r="JX461">
        <v>0</v>
      </c>
      <c r="JY461">
        <v>90</v>
      </c>
      <c r="JZ461" t="s">
        <v>796</v>
      </c>
      <c r="KA461" t="s">
        <v>198</v>
      </c>
      <c r="KB461" t="s">
        <v>738</v>
      </c>
      <c r="KC461" t="s">
        <v>1</v>
      </c>
      <c r="KD461" t="s">
        <v>1</v>
      </c>
      <c r="KE461" t="s">
        <v>1</v>
      </c>
      <c r="KF461" t="s">
        <v>1</v>
      </c>
      <c r="KG461" t="s">
        <v>1</v>
      </c>
      <c r="KH461" t="s">
        <v>1</v>
      </c>
      <c r="KI461" t="s">
        <v>1</v>
      </c>
      <c r="KJ461" t="s">
        <v>1</v>
      </c>
      <c r="KK461" t="s">
        <v>1</v>
      </c>
    </row>
    <row r="462" spans="1:297" x14ac:dyDescent="0.2">
      <c r="A462">
        <v>430</v>
      </c>
      <c r="B462" t="s">
        <v>705</v>
      </c>
      <c r="C462" t="s">
        <v>530</v>
      </c>
      <c r="D462" t="s">
        <v>522</v>
      </c>
      <c r="E462">
        <v>75</v>
      </c>
      <c r="F462" t="s">
        <v>523</v>
      </c>
      <c r="G462" t="s">
        <v>1</v>
      </c>
      <c r="H462" s="26" t="s">
        <v>1420</v>
      </c>
      <c r="I462" t="s">
        <v>1</v>
      </c>
      <c r="J462" t="s">
        <v>1</v>
      </c>
      <c r="K462" t="s">
        <v>1</v>
      </c>
      <c r="L462" t="s">
        <v>1</v>
      </c>
      <c r="M462" t="s">
        <v>1</v>
      </c>
      <c r="N462" t="s">
        <v>1</v>
      </c>
      <c r="O462" t="s">
        <v>1</v>
      </c>
      <c r="P462" t="s">
        <v>1</v>
      </c>
      <c r="Q462" t="s">
        <v>1</v>
      </c>
      <c r="R462" t="s">
        <v>1</v>
      </c>
      <c r="S462" t="s">
        <v>1</v>
      </c>
      <c r="T462" t="s">
        <v>1</v>
      </c>
      <c r="U462" t="s">
        <v>1</v>
      </c>
      <c r="V462" t="s">
        <v>1</v>
      </c>
      <c r="W462" t="s">
        <v>1</v>
      </c>
      <c r="X462" t="s">
        <v>1</v>
      </c>
      <c r="Y462" t="s">
        <v>1</v>
      </c>
      <c r="Z462" t="s">
        <v>1</v>
      </c>
      <c r="AA462" t="s">
        <v>1</v>
      </c>
      <c r="AB462" t="s">
        <v>1</v>
      </c>
      <c r="AC462" t="s">
        <v>1</v>
      </c>
      <c r="AD462" t="s">
        <v>1</v>
      </c>
      <c r="AE462" t="s">
        <v>1</v>
      </c>
      <c r="AF462" t="s">
        <v>1</v>
      </c>
      <c r="AG462" t="s">
        <v>1</v>
      </c>
      <c r="AH462" t="s">
        <v>1</v>
      </c>
      <c r="AI462" t="s">
        <v>1</v>
      </c>
      <c r="AJ462" t="s">
        <v>1</v>
      </c>
      <c r="AK462" t="s">
        <v>1</v>
      </c>
      <c r="AL462" t="s">
        <v>1</v>
      </c>
      <c r="AM462" t="s">
        <v>1</v>
      </c>
      <c r="AN462">
        <v>430</v>
      </c>
      <c r="AO462">
        <f t="shared" si="59"/>
        <v>430</v>
      </c>
      <c r="AP462">
        <f t="shared" si="62"/>
        <v>75</v>
      </c>
      <c r="AQ462">
        <f t="shared" si="61"/>
        <v>75</v>
      </c>
      <c r="AR462" s="26" t="s">
        <v>1355</v>
      </c>
      <c r="AS462" s="26" t="s">
        <v>1356</v>
      </c>
      <c r="AT462" t="s">
        <v>726</v>
      </c>
      <c r="AU462" t="s">
        <v>1</v>
      </c>
      <c r="AV462" t="s">
        <v>1</v>
      </c>
      <c r="AW462">
        <v>44.49</v>
      </c>
      <c r="AX462">
        <v>11.01</v>
      </c>
      <c r="AY462" t="s">
        <v>737</v>
      </c>
      <c r="BA462" s="3">
        <v>3</v>
      </c>
      <c r="BB462" s="3"/>
      <c r="BC462" s="3"/>
      <c r="BD462" s="3"/>
      <c r="BE462" s="3"/>
      <c r="BF462">
        <v>1979</v>
      </c>
      <c r="BG462" s="24" t="s">
        <v>733</v>
      </c>
      <c r="BH462" s="24" t="s">
        <v>733</v>
      </c>
      <c r="BI462" s="24" t="s">
        <v>733</v>
      </c>
      <c r="BJ462" s="24" t="s">
        <v>732</v>
      </c>
      <c r="BK462" s="24" t="s">
        <v>733</v>
      </c>
      <c r="BL462" s="25" t="s">
        <v>733</v>
      </c>
      <c r="BM462" s="24" t="s">
        <v>733</v>
      </c>
      <c r="BN462" s="24" t="s">
        <v>732</v>
      </c>
      <c r="BO462" s="24" t="s">
        <v>733</v>
      </c>
      <c r="BP462" s="24" t="s">
        <v>733</v>
      </c>
      <c r="BQ462" s="24" t="s">
        <v>945</v>
      </c>
      <c r="BR462" s="24" t="s">
        <v>945</v>
      </c>
      <c r="BS462" s="25" t="s">
        <v>934</v>
      </c>
      <c r="BT462" s="24" t="s">
        <v>934</v>
      </c>
      <c r="BU462" s="24" t="s">
        <v>934</v>
      </c>
      <c r="BV462" s="24" t="s">
        <v>934</v>
      </c>
      <c r="BW462" s="24" t="s">
        <v>934</v>
      </c>
      <c r="BX462" s="24" t="s">
        <v>934</v>
      </c>
      <c r="BY462" s="25" t="s">
        <v>945</v>
      </c>
      <c r="BZ462" t="s">
        <v>788</v>
      </c>
      <c r="CB462" t="s">
        <v>525</v>
      </c>
      <c r="CC462" s="4" t="s">
        <v>1</v>
      </c>
      <c r="CD462" s="4"/>
      <c r="CE462" s="4"/>
      <c r="CF462" t="s">
        <v>1</v>
      </c>
      <c r="CG462" t="s">
        <v>1</v>
      </c>
      <c r="CH462" t="s">
        <v>805</v>
      </c>
      <c r="CI462" s="28">
        <v>0.9</v>
      </c>
      <c r="CJ462" s="9" t="s">
        <v>1</v>
      </c>
      <c r="CK462" s="9" t="s">
        <v>1</v>
      </c>
      <c r="CL462" s="4" t="s">
        <v>1</v>
      </c>
      <c r="CM462" t="s">
        <v>847</v>
      </c>
      <c r="CN462" s="4">
        <v>296.87</v>
      </c>
      <c r="CO462" s="4" t="s">
        <v>1</v>
      </c>
      <c r="CP462" s="4" t="s">
        <v>1</v>
      </c>
      <c r="CQ462" s="4" t="s">
        <v>1</v>
      </c>
      <c r="CR462" s="4" t="s">
        <v>1</v>
      </c>
      <c r="CS462" s="4" t="s">
        <v>1</v>
      </c>
      <c r="CT462" s="4" t="s">
        <v>1</v>
      </c>
      <c r="CU462" s="4" t="s">
        <v>1</v>
      </c>
      <c r="CV462" s="37" t="s">
        <v>855</v>
      </c>
      <c r="CW462">
        <v>100</v>
      </c>
      <c r="CX462">
        <v>0</v>
      </c>
      <c r="CY462">
        <v>25</v>
      </c>
      <c r="CZ462" s="26" t="s">
        <v>1358</v>
      </c>
      <c r="DA462" t="s">
        <v>734</v>
      </c>
      <c r="DB462">
        <v>56.5</v>
      </c>
      <c r="DC462">
        <v>0</v>
      </c>
      <c r="DD462">
        <v>25</v>
      </c>
      <c r="DE462" s="26" t="s">
        <v>1358</v>
      </c>
      <c r="DF462" t="s">
        <v>735</v>
      </c>
      <c r="DG462">
        <v>32.6</v>
      </c>
      <c r="DH462">
        <v>0</v>
      </c>
      <c r="DI462">
        <v>25</v>
      </c>
      <c r="DJ462" s="26" t="s">
        <v>1358</v>
      </c>
      <c r="DK462" t="s">
        <v>736</v>
      </c>
      <c r="DL462">
        <v>10.9</v>
      </c>
      <c r="DM462">
        <v>0</v>
      </c>
      <c r="DN462">
        <v>25</v>
      </c>
      <c r="DO462" s="26" t="s">
        <v>1358</v>
      </c>
      <c r="DP462" t="s">
        <v>1</v>
      </c>
      <c r="DQ462" t="s">
        <v>1</v>
      </c>
      <c r="DR462" t="s">
        <v>1</v>
      </c>
      <c r="DS462" t="s">
        <v>1</v>
      </c>
      <c r="DT462" t="s">
        <v>1</v>
      </c>
      <c r="DU462" t="s">
        <v>1</v>
      </c>
      <c r="EA462" t="s">
        <v>982</v>
      </c>
      <c r="EB462">
        <v>9.3000000000000007</v>
      </c>
      <c r="EC462">
        <v>0</v>
      </c>
      <c r="ED462">
        <v>25</v>
      </c>
      <c r="EE462" s="26" t="s">
        <v>1358</v>
      </c>
      <c r="EF462" s="26"/>
      <c r="FZ462" t="s">
        <v>806</v>
      </c>
      <c r="GA462">
        <v>867.32500000000005</v>
      </c>
      <c r="GE462" s="26" t="s">
        <v>1358</v>
      </c>
      <c r="HA462" s="5" t="s">
        <v>1</v>
      </c>
      <c r="HB462" s="4" t="s">
        <v>1</v>
      </c>
      <c r="HC462" t="s">
        <v>1</v>
      </c>
      <c r="HD462" t="s">
        <v>1</v>
      </c>
      <c r="HE462" t="s">
        <v>1</v>
      </c>
      <c r="HF462" s="5" t="s">
        <v>1063</v>
      </c>
      <c r="HG462" s="4">
        <v>1.25</v>
      </c>
      <c r="HH462">
        <v>0</v>
      </c>
      <c r="HI462">
        <v>25</v>
      </c>
      <c r="HJ462" s="26" t="s">
        <v>1358</v>
      </c>
      <c r="HK462" t="s">
        <v>815</v>
      </c>
      <c r="HL462">
        <v>1.32</v>
      </c>
      <c r="HM462">
        <v>0</v>
      </c>
      <c r="HN462">
        <v>25</v>
      </c>
      <c r="HO462" t="s">
        <v>1</v>
      </c>
      <c r="HP462" s="26" t="s">
        <v>1358</v>
      </c>
      <c r="HZ462" t="s">
        <v>1</v>
      </c>
      <c r="IA462" t="s">
        <v>1</v>
      </c>
      <c r="IB462" s="10" t="s">
        <v>1</v>
      </c>
      <c r="IC462" s="10"/>
      <c r="ID462" s="10"/>
      <c r="IE462" s="10" t="s">
        <v>1</v>
      </c>
      <c r="IF462" s="10" t="s">
        <v>1</v>
      </c>
      <c r="IG462" s="10"/>
      <c r="IH462" s="10"/>
      <c r="II462" s="10"/>
      <c r="IJ462" s="10"/>
      <c r="IK462" s="10"/>
      <c r="IL462" s="10"/>
      <c r="IM462" s="10"/>
      <c r="IN462" s="10"/>
      <c r="IO462" s="10"/>
      <c r="IP462" s="10"/>
      <c r="IQ462" s="10"/>
      <c r="IR462" s="10"/>
      <c r="IS462" t="s">
        <v>1</v>
      </c>
      <c r="IT462" t="s">
        <v>1</v>
      </c>
      <c r="IW462" t="s">
        <v>979</v>
      </c>
      <c r="IX462">
        <v>277</v>
      </c>
      <c r="IY462" t="s">
        <v>808</v>
      </c>
      <c r="IZ462">
        <v>1675</v>
      </c>
      <c r="JA462" t="s">
        <v>1</v>
      </c>
      <c r="JB462" s="3" t="s">
        <v>1</v>
      </c>
      <c r="JC462" t="s">
        <v>1</v>
      </c>
      <c r="JD462" s="4" t="s">
        <v>1</v>
      </c>
      <c r="JE462" t="s">
        <v>1</v>
      </c>
      <c r="JF462" t="s">
        <v>1</v>
      </c>
      <c r="JR462" t="s">
        <v>1066</v>
      </c>
      <c r="JS462">
        <v>286.8</v>
      </c>
      <c r="JU462" t="s">
        <v>1</v>
      </c>
      <c r="JW462" t="s">
        <v>1</v>
      </c>
      <c r="JX462">
        <v>0</v>
      </c>
      <c r="JY462">
        <v>90</v>
      </c>
      <c r="JZ462" t="s">
        <v>796</v>
      </c>
      <c r="KA462" t="s">
        <v>198</v>
      </c>
      <c r="KB462" t="s">
        <v>738</v>
      </c>
      <c r="KC462" t="s">
        <v>1</v>
      </c>
      <c r="KD462" t="s">
        <v>1</v>
      </c>
      <c r="KE462" t="s">
        <v>1</v>
      </c>
      <c r="KF462" t="s">
        <v>1</v>
      </c>
      <c r="KG462" t="s">
        <v>1</v>
      </c>
      <c r="KH462" t="s">
        <v>1</v>
      </c>
      <c r="KI462" t="s">
        <v>1</v>
      </c>
      <c r="KJ462" t="s">
        <v>1</v>
      </c>
      <c r="KK462" t="s">
        <v>1</v>
      </c>
    </row>
    <row r="463" spans="1:297" x14ac:dyDescent="0.2">
      <c r="A463">
        <v>431</v>
      </c>
      <c r="B463" t="s">
        <v>705</v>
      </c>
      <c r="C463" t="s">
        <v>531</v>
      </c>
      <c r="D463" t="s">
        <v>522</v>
      </c>
      <c r="E463">
        <v>75</v>
      </c>
      <c r="F463" t="s">
        <v>523</v>
      </c>
      <c r="G463" t="s">
        <v>1</v>
      </c>
      <c r="H463" s="26" t="s">
        <v>1420</v>
      </c>
      <c r="I463" t="s">
        <v>1</v>
      </c>
      <c r="J463" t="s">
        <v>1</v>
      </c>
      <c r="K463" t="s">
        <v>1</v>
      </c>
      <c r="L463" t="s">
        <v>1</v>
      </c>
      <c r="M463" t="s">
        <v>1</v>
      </c>
      <c r="N463" t="s">
        <v>1</v>
      </c>
      <c r="O463" t="s">
        <v>1</v>
      </c>
      <c r="P463" t="s">
        <v>1</v>
      </c>
      <c r="Q463" t="s">
        <v>1</v>
      </c>
      <c r="R463" t="s">
        <v>1</v>
      </c>
      <c r="S463" t="s">
        <v>1</v>
      </c>
      <c r="T463" t="s">
        <v>1</v>
      </c>
      <c r="U463" t="s">
        <v>1</v>
      </c>
      <c r="V463" t="s">
        <v>1</v>
      </c>
      <c r="W463" t="s">
        <v>1</v>
      </c>
      <c r="X463" t="s">
        <v>1</v>
      </c>
      <c r="Y463" t="s">
        <v>1</v>
      </c>
      <c r="Z463" t="s">
        <v>1</v>
      </c>
      <c r="AA463" t="s">
        <v>1</v>
      </c>
      <c r="AB463" t="s">
        <v>1</v>
      </c>
      <c r="AC463" t="s">
        <v>1</v>
      </c>
      <c r="AD463" t="s">
        <v>1</v>
      </c>
      <c r="AE463" t="s">
        <v>1</v>
      </c>
      <c r="AF463" t="s">
        <v>1</v>
      </c>
      <c r="AG463" t="s">
        <v>1</v>
      </c>
      <c r="AH463" t="s">
        <v>1</v>
      </c>
      <c r="AI463" t="s">
        <v>1</v>
      </c>
      <c r="AJ463" t="s">
        <v>1</v>
      </c>
      <c r="AK463" t="s">
        <v>1</v>
      </c>
      <c r="AL463" t="s">
        <v>1</v>
      </c>
      <c r="AM463" t="s">
        <v>1</v>
      </c>
      <c r="AN463">
        <v>431</v>
      </c>
      <c r="AO463">
        <f t="shared" si="59"/>
        <v>431</v>
      </c>
      <c r="AP463">
        <f t="shared" si="62"/>
        <v>75</v>
      </c>
      <c r="AQ463">
        <f t="shared" si="61"/>
        <v>75</v>
      </c>
      <c r="AR463" s="26" t="s">
        <v>1355</v>
      </c>
      <c r="AS463" s="26" t="s">
        <v>1356</v>
      </c>
      <c r="AT463" t="s">
        <v>726</v>
      </c>
      <c r="AU463" t="s">
        <v>1</v>
      </c>
      <c r="AV463" t="s">
        <v>1</v>
      </c>
      <c r="AW463">
        <v>44.49</v>
      </c>
      <c r="AX463">
        <v>11.01</v>
      </c>
      <c r="AY463" t="s">
        <v>737</v>
      </c>
      <c r="BA463" s="3">
        <v>3</v>
      </c>
      <c r="BB463" s="3"/>
      <c r="BC463" s="3"/>
      <c r="BD463" s="3"/>
      <c r="BE463" s="3"/>
      <c r="BF463">
        <v>1979</v>
      </c>
      <c r="BG463" s="24" t="s">
        <v>733</v>
      </c>
      <c r="BH463" s="24" t="s">
        <v>733</v>
      </c>
      <c r="BI463" s="24" t="s">
        <v>733</v>
      </c>
      <c r="BJ463" s="24" t="s">
        <v>732</v>
      </c>
      <c r="BK463" s="24" t="s">
        <v>733</v>
      </c>
      <c r="BL463" s="25" t="s">
        <v>733</v>
      </c>
      <c r="BM463" s="24" t="s">
        <v>733</v>
      </c>
      <c r="BN463" s="24" t="s">
        <v>732</v>
      </c>
      <c r="BO463" s="24" t="s">
        <v>733</v>
      </c>
      <c r="BP463" s="24" t="s">
        <v>733</v>
      </c>
      <c r="BQ463" s="24" t="s">
        <v>945</v>
      </c>
      <c r="BR463" s="24" t="s">
        <v>945</v>
      </c>
      <c r="BS463" s="25" t="s">
        <v>934</v>
      </c>
      <c r="BT463" s="24" t="s">
        <v>934</v>
      </c>
      <c r="BU463" s="24" t="s">
        <v>934</v>
      </c>
      <c r="BV463" s="24" t="s">
        <v>934</v>
      </c>
      <c r="BW463" s="24" t="s">
        <v>934</v>
      </c>
      <c r="BX463" s="24" t="s">
        <v>934</v>
      </c>
      <c r="BY463" s="25" t="s">
        <v>945</v>
      </c>
      <c r="BZ463" t="s">
        <v>788</v>
      </c>
      <c r="CB463" t="s">
        <v>525</v>
      </c>
      <c r="CC463" s="4" t="s">
        <v>1</v>
      </c>
      <c r="CD463" s="4"/>
      <c r="CE463" s="4"/>
      <c r="CF463" t="s">
        <v>1</v>
      </c>
      <c r="CG463" t="s">
        <v>1</v>
      </c>
      <c r="CH463" t="s">
        <v>805</v>
      </c>
      <c r="CI463" s="28">
        <v>0.9</v>
      </c>
      <c r="CJ463" s="9" t="s">
        <v>1</v>
      </c>
      <c r="CK463" s="9" t="s">
        <v>1</v>
      </c>
      <c r="CL463" s="4" t="s">
        <v>1</v>
      </c>
      <c r="CM463" t="s">
        <v>847</v>
      </c>
      <c r="CN463" s="4">
        <v>379.06</v>
      </c>
      <c r="CO463" s="4" t="s">
        <v>1</v>
      </c>
      <c r="CP463" s="4" t="s">
        <v>1</v>
      </c>
      <c r="CQ463" s="4" t="s">
        <v>1</v>
      </c>
      <c r="CR463" s="4" t="s">
        <v>1</v>
      </c>
      <c r="CS463" s="4" t="s">
        <v>1</v>
      </c>
      <c r="CT463" s="4" t="s">
        <v>1</v>
      </c>
      <c r="CU463" s="4" t="s">
        <v>1</v>
      </c>
      <c r="CV463" s="37" t="s">
        <v>855</v>
      </c>
      <c r="CW463">
        <v>100</v>
      </c>
      <c r="CX463">
        <v>0</v>
      </c>
      <c r="CY463">
        <v>25</v>
      </c>
      <c r="CZ463" s="26" t="s">
        <v>1358</v>
      </c>
      <c r="DA463" t="s">
        <v>734</v>
      </c>
      <c r="DB463">
        <v>56.5</v>
      </c>
      <c r="DC463">
        <v>0</v>
      </c>
      <c r="DD463">
        <v>25</v>
      </c>
      <c r="DE463" s="26" t="s">
        <v>1358</v>
      </c>
      <c r="DF463" t="s">
        <v>735</v>
      </c>
      <c r="DG463">
        <v>32.6</v>
      </c>
      <c r="DH463">
        <v>0</v>
      </c>
      <c r="DI463">
        <v>25</v>
      </c>
      <c r="DJ463" s="26" t="s">
        <v>1358</v>
      </c>
      <c r="DK463" t="s">
        <v>736</v>
      </c>
      <c r="DL463">
        <v>10.9</v>
      </c>
      <c r="DM463">
        <v>0</v>
      </c>
      <c r="DN463">
        <v>25</v>
      </c>
      <c r="DO463" s="26" t="s">
        <v>1358</v>
      </c>
      <c r="DP463" t="s">
        <v>1</v>
      </c>
      <c r="DQ463" t="s">
        <v>1</v>
      </c>
      <c r="DR463" t="s">
        <v>1</v>
      </c>
      <c r="DS463" t="s">
        <v>1</v>
      </c>
      <c r="DT463" t="s">
        <v>1</v>
      </c>
      <c r="DU463" t="s">
        <v>1</v>
      </c>
      <c r="EA463" t="s">
        <v>982</v>
      </c>
      <c r="EB463">
        <v>9.3000000000000007</v>
      </c>
      <c r="EC463">
        <v>0</v>
      </c>
      <c r="ED463">
        <v>25</v>
      </c>
      <c r="EE463" s="26" t="s">
        <v>1358</v>
      </c>
      <c r="EF463" s="26"/>
      <c r="FZ463" t="s">
        <v>806</v>
      </c>
      <c r="GA463">
        <v>867.32500000000005</v>
      </c>
      <c r="GE463" s="26" t="s">
        <v>1358</v>
      </c>
      <c r="HA463" s="5" t="s">
        <v>1</v>
      </c>
      <c r="HB463" s="4" t="s">
        <v>1</v>
      </c>
      <c r="HC463" t="s">
        <v>1</v>
      </c>
      <c r="HD463" t="s">
        <v>1</v>
      </c>
      <c r="HE463" t="s">
        <v>1</v>
      </c>
      <c r="HF463" s="5" t="s">
        <v>1063</v>
      </c>
      <c r="HG463" s="4">
        <v>1.25</v>
      </c>
      <c r="HH463">
        <v>0</v>
      </c>
      <c r="HI463">
        <v>25</v>
      </c>
      <c r="HJ463" s="26" t="s">
        <v>1358</v>
      </c>
      <c r="HK463" t="s">
        <v>815</v>
      </c>
      <c r="HL463">
        <v>1.32</v>
      </c>
      <c r="HM463">
        <v>0</v>
      </c>
      <c r="HN463">
        <v>25</v>
      </c>
      <c r="HO463" t="s">
        <v>1</v>
      </c>
      <c r="HP463" s="26" t="s">
        <v>1358</v>
      </c>
      <c r="HZ463" t="s">
        <v>1</v>
      </c>
      <c r="IA463" t="s">
        <v>1</v>
      </c>
      <c r="IB463" s="10" t="s">
        <v>1</v>
      </c>
      <c r="IC463" s="10"/>
      <c r="ID463" s="10"/>
      <c r="IE463" s="10" t="s">
        <v>1</v>
      </c>
      <c r="IF463" s="10" t="s">
        <v>1</v>
      </c>
      <c r="IG463" s="10"/>
      <c r="IH463" s="10"/>
      <c r="II463" s="10"/>
      <c r="IJ463" s="10"/>
      <c r="IK463" s="10"/>
      <c r="IL463" s="10"/>
      <c r="IM463" s="10"/>
      <c r="IN463" s="10"/>
      <c r="IO463" s="10"/>
      <c r="IP463" s="10"/>
      <c r="IQ463" s="10"/>
      <c r="IR463" s="10"/>
      <c r="IS463" t="s">
        <v>1</v>
      </c>
      <c r="IT463" t="s">
        <v>1</v>
      </c>
      <c r="IW463" t="s">
        <v>979</v>
      </c>
      <c r="IX463">
        <v>553</v>
      </c>
      <c r="IY463" t="s">
        <v>808</v>
      </c>
      <c r="IZ463">
        <v>1675</v>
      </c>
      <c r="JA463" t="s">
        <v>1</v>
      </c>
      <c r="JB463" s="3" t="s">
        <v>1</v>
      </c>
      <c r="JC463" t="s">
        <v>1</v>
      </c>
      <c r="JD463" s="4" t="s">
        <v>1</v>
      </c>
      <c r="JE463" t="s">
        <v>1</v>
      </c>
      <c r="JF463" t="s">
        <v>1</v>
      </c>
      <c r="JR463" t="s">
        <v>1066</v>
      </c>
      <c r="JS463">
        <v>688.9</v>
      </c>
      <c r="JU463" t="s">
        <v>1</v>
      </c>
      <c r="JW463" t="s">
        <v>1</v>
      </c>
      <c r="JX463">
        <v>0</v>
      </c>
      <c r="JY463">
        <v>90</v>
      </c>
      <c r="JZ463" t="s">
        <v>796</v>
      </c>
      <c r="KA463" t="s">
        <v>198</v>
      </c>
      <c r="KB463" t="s">
        <v>738</v>
      </c>
      <c r="KC463" t="s">
        <v>1</v>
      </c>
      <c r="KD463" t="s">
        <v>1</v>
      </c>
      <c r="KE463" t="s">
        <v>1</v>
      </c>
      <c r="KF463" t="s">
        <v>1</v>
      </c>
      <c r="KG463" t="s">
        <v>1</v>
      </c>
      <c r="KH463" t="s">
        <v>1</v>
      </c>
      <c r="KI463" t="s">
        <v>1</v>
      </c>
      <c r="KJ463" t="s">
        <v>1</v>
      </c>
      <c r="KK463" t="s">
        <v>1</v>
      </c>
    </row>
    <row r="464" spans="1:297" x14ac:dyDescent="0.2">
      <c r="A464">
        <v>432</v>
      </c>
      <c r="B464" t="s">
        <v>705</v>
      </c>
      <c r="C464" t="s">
        <v>532</v>
      </c>
      <c r="D464" t="s">
        <v>522</v>
      </c>
      <c r="E464">
        <v>75</v>
      </c>
      <c r="F464" t="s">
        <v>523</v>
      </c>
      <c r="G464" t="s">
        <v>1</v>
      </c>
      <c r="H464" s="26" t="s">
        <v>1420</v>
      </c>
      <c r="I464" t="s">
        <v>1</v>
      </c>
      <c r="J464" t="s">
        <v>1</v>
      </c>
      <c r="K464" t="s">
        <v>1</v>
      </c>
      <c r="L464" t="s">
        <v>1</v>
      </c>
      <c r="M464" t="s">
        <v>1</v>
      </c>
      <c r="N464" t="s">
        <v>1</v>
      </c>
      <c r="O464" t="s">
        <v>1</v>
      </c>
      <c r="P464" t="s">
        <v>1</v>
      </c>
      <c r="Q464" t="s">
        <v>1</v>
      </c>
      <c r="R464" t="s">
        <v>1</v>
      </c>
      <c r="S464" t="s">
        <v>1</v>
      </c>
      <c r="T464" t="s">
        <v>1</v>
      </c>
      <c r="U464" t="s">
        <v>1</v>
      </c>
      <c r="V464" t="s">
        <v>1</v>
      </c>
      <c r="W464" t="s">
        <v>1</v>
      </c>
      <c r="X464" t="s">
        <v>1</v>
      </c>
      <c r="Y464" t="s">
        <v>1</v>
      </c>
      <c r="Z464" t="s">
        <v>1</v>
      </c>
      <c r="AA464" t="s">
        <v>1</v>
      </c>
      <c r="AB464" t="s">
        <v>1</v>
      </c>
      <c r="AC464" t="s">
        <v>1</v>
      </c>
      <c r="AD464" t="s">
        <v>1</v>
      </c>
      <c r="AE464" t="s">
        <v>1</v>
      </c>
      <c r="AF464" t="s">
        <v>1</v>
      </c>
      <c r="AG464" t="s">
        <v>1</v>
      </c>
      <c r="AH464" t="s">
        <v>1</v>
      </c>
      <c r="AI464" t="s">
        <v>1</v>
      </c>
      <c r="AJ464" t="s">
        <v>1</v>
      </c>
      <c r="AK464" t="s">
        <v>1</v>
      </c>
      <c r="AL464" t="s">
        <v>1</v>
      </c>
      <c r="AM464" t="s">
        <v>1</v>
      </c>
      <c r="AN464">
        <v>432</v>
      </c>
      <c r="AO464">
        <f t="shared" si="59"/>
        <v>432</v>
      </c>
      <c r="AP464">
        <f t="shared" si="62"/>
        <v>75</v>
      </c>
      <c r="AQ464">
        <f t="shared" si="61"/>
        <v>75</v>
      </c>
      <c r="AR464" s="26" t="s">
        <v>1355</v>
      </c>
      <c r="AS464" s="26" t="s">
        <v>1356</v>
      </c>
      <c r="AT464" t="s">
        <v>726</v>
      </c>
      <c r="AU464" t="s">
        <v>1</v>
      </c>
      <c r="AV464" t="s">
        <v>1</v>
      </c>
      <c r="AW464">
        <v>44.49</v>
      </c>
      <c r="AX464">
        <v>11.01</v>
      </c>
      <c r="AY464" t="s">
        <v>737</v>
      </c>
      <c r="BA464" s="3">
        <v>3</v>
      </c>
      <c r="BB464" s="3"/>
      <c r="BC464" s="3"/>
      <c r="BD464" s="3"/>
      <c r="BE464" s="3"/>
      <c r="BF464">
        <v>1979</v>
      </c>
      <c r="BG464" s="24" t="s">
        <v>733</v>
      </c>
      <c r="BH464" s="24" t="s">
        <v>733</v>
      </c>
      <c r="BI464" s="24" t="s">
        <v>733</v>
      </c>
      <c r="BJ464" s="24" t="s">
        <v>732</v>
      </c>
      <c r="BK464" s="24" t="s">
        <v>733</v>
      </c>
      <c r="BL464" s="25" t="s">
        <v>733</v>
      </c>
      <c r="BM464" s="24" t="s">
        <v>733</v>
      </c>
      <c r="BN464" s="24" t="s">
        <v>732</v>
      </c>
      <c r="BO464" s="24" t="s">
        <v>733</v>
      </c>
      <c r="BP464" s="24" t="s">
        <v>733</v>
      </c>
      <c r="BQ464" s="24" t="s">
        <v>945</v>
      </c>
      <c r="BR464" s="24" t="s">
        <v>945</v>
      </c>
      <c r="BS464" s="25" t="s">
        <v>934</v>
      </c>
      <c r="BT464" s="24" t="s">
        <v>934</v>
      </c>
      <c r="BU464" s="24" t="s">
        <v>934</v>
      </c>
      <c r="BV464" s="24" t="s">
        <v>934</v>
      </c>
      <c r="BW464" s="24" t="s">
        <v>934</v>
      </c>
      <c r="BX464" s="24" t="s">
        <v>934</v>
      </c>
      <c r="BY464" s="25" t="s">
        <v>945</v>
      </c>
      <c r="BZ464" t="s">
        <v>788</v>
      </c>
      <c r="CB464" t="s">
        <v>525</v>
      </c>
      <c r="CC464" s="4" t="s">
        <v>1</v>
      </c>
      <c r="CD464" s="4"/>
      <c r="CE464" s="4"/>
      <c r="CF464" t="s">
        <v>1</v>
      </c>
      <c r="CG464" t="s">
        <v>1</v>
      </c>
      <c r="CH464" t="s">
        <v>805</v>
      </c>
      <c r="CI464" s="28">
        <v>0.9</v>
      </c>
      <c r="CJ464" s="9" t="s">
        <v>1</v>
      </c>
      <c r="CK464" s="9" t="s">
        <v>1</v>
      </c>
      <c r="CL464" s="4" t="s">
        <v>1</v>
      </c>
      <c r="CM464" t="s">
        <v>847</v>
      </c>
      <c r="CN464" s="4">
        <v>407.43</v>
      </c>
      <c r="CO464" s="4" t="s">
        <v>1</v>
      </c>
      <c r="CP464" s="4" t="s">
        <v>1</v>
      </c>
      <c r="CQ464" s="4" t="s">
        <v>1</v>
      </c>
      <c r="CR464" s="4" t="s">
        <v>1</v>
      </c>
      <c r="CS464" s="4" t="s">
        <v>1</v>
      </c>
      <c r="CT464" s="4" t="s">
        <v>1</v>
      </c>
      <c r="CU464" s="4" t="s">
        <v>1</v>
      </c>
      <c r="CV464" s="37" t="s">
        <v>855</v>
      </c>
      <c r="CW464">
        <v>100</v>
      </c>
      <c r="CX464">
        <v>0</v>
      </c>
      <c r="CY464">
        <v>25</v>
      </c>
      <c r="CZ464" s="26" t="s">
        <v>1358</v>
      </c>
      <c r="DA464" t="s">
        <v>734</v>
      </c>
      <c r="DB464">
        <v>56.5</v>
      </c>
      <c r="DC464">
        <v>0</v>
      </c>
      <c r="DD464">
        <v>25</v>
      </c>
      <c r="DE464" s="26" t="s">
        <v>1358</v>
      </c>
      <c r="DF464" t="s">
        <v>735</v>
      </c>
      <c r="DG464">
        <v>32.6</v>
      </c>
      <c r="DH464">
        <v>0</v>
      </c>
      <c r="DI464">
        <v>25</v>
      </c>
      <c r="DJ464" s="26" t="s">
        <v>1358</v>
      </c>
      <c r="DK464" t="s">
        <v>736</v>
      </c>
      <c r="DL464">
        <v>10.9</v>
      </c>
      <c r="DM464">
        <v>0</v>
      </c>
      <c r="DN464">
        <v>25</v>
      </c>
      <c r="DO464" s="26" t="s">
        <v>1358</v>
      </c>
      <c r="DP464" t="s">
        <v>1</v>
      </c>
      <c r="DQ464" t="s">
        <v>1</v>
      </c>
      <c r="DR464" t="s">
        <v>1</v>
      </c>
      <c r="DS464" t="s">
        <v>1</v>
      </c>
      <c r="DT464" t="s">
        <v>1</v>
      </c>
      <c r="DU464" t="s">
        <v>1</v>
      </c>
      <c r="EA464" t="s">
        <v>982</v>
      </c>
      <c r="EB464">
        <v>9.3000000000000007</v>
      </c>
      <c r="EC464">
        <v>0</v>
      </c>
      <c r="ED464">
        <v>25</v>
      </c>
      <c r="EE464" s="26" t="s">
        <v>1358</v>
      </c>
      <c r="EF464" s="26"/>
      <c r="FZ464" t="s">
        <v>806</v>
      </c>
      <c r="GA464">
        <v>867.32500000000005</v>
      </c>
      <c r="GE464" s="26" t="s">
        <v>1358</v>
      </c>
      <c r="HA464" s="5" t="s">
        <v>1</v>
      </c>
      <c r="HB464" s="4" t="s">
        <v>1</v>
      </c>
      <c r="HC464" t="s">
        <v>1</v>
      </c>
      <c r="HD464" t="s">
        <v>1</v>
      </c>
      <c r="HE464" t="s">
        <v>1</v>
      </c>
      <c r="HF464" s="5" t="s">
        <v>1063</v>
      </c>
      <c r="HG464" s="4">
        <v>1.25</v>
      </c>
      <c r="HH464">
        <v>0</v>
      </c>
      <c r="HI464">
        <v>25</v>
      </c>
      <c r="HJ464" s="26" t="s">
        <v>1358</v>
      </c>
      <c r="HK464" t="s">
        <v>815</v>
      </c>
      <c r="HL464">
        <v>1.32</v>
      </c>
      <c r="HM464">
        <v>0</v>
      </c>
      <c r="HN464">
        <v>25</v>
      </c>
      <c r="HO464" t="s">
        <v>1</v>
      </c>
      <c r="HP464" s="26" t="s">
        <v>1358</v>
      </c>
      <c r="HZ464" t="s">
        <v>1</v>
      </c>
      <c r="IA464" t="s">
        <v>1</v>
      </c>
      <c r="IB464" s="10" t="s">
        <v>1</v>
      </c>
      <c r="IC464" s="10"/>
      <c r="ID464" s="10"/>
      <c r="IE464" s="10" t="s">
        <v>1</v>
      </c>
      <c r="IF464" s="10" t="s">
        <v>1</v>
      </c>
      <c r="IG464" s="10"/>
      <c r="IH464" s="10"/>
      <c r="II464" s="10"/>
      <c r="IJ464" s="10"/>
      <c r="IK464" s="10"/>
      <c r="IL464" s="10"/>
      <c r="IM464" s="10"/>
      <c r="IN464" s="10"/>
      <c r="IO464" s="10"/>
      <c r="IP464" s="10"/>
      <c r="IQ464" s="10"/>
      <c r="IR464" s="10"/>
      <c r="IS464" t="s">
        <v>1</v>
      </c>
      <c r="IT464" t="s">
        <v>1</v>
      </c>
      <c r="IW464" t="s">
        <v>979</v>
      </c>
      <c r="IX464">
        <v>832</v>
      </c>
      <c r="IY464" t="s">
        <v>808</v>
      </c>
      <c r="IZ464">
        <v>1675</v>
      </c>
      <c r="JA464" t="s">
        <v>1</v>
      </c>
      <c r="JB464" s="3" t="s">
        <v>1</v>
      </c>
      <c r="JC464" t="s">
        <v>1</v>
      </c>
      <c r="JD464" s="4" t="s">
        <v>1</v>
      </c>
      <c r="JE464" t="s">
        <v>1</v>
      </c>
      <c r="JF464" t="s">
        <v>1</v>
      </c>
      <c r="JR464" t="s">
        <v>1066</v>
      </c>
      <c r="JS464">
        <v>1136.3</v>
      </c>
      <c r="JU464" t="s">
        <v>1</v>
      </c>
      <c r="JW464" t="s">
        <v>1</v>
      </c>
      <c r="JX464">
        <v>0</v>
      </c>
      <c r="JY464">
        <v>90</v>
      </c>
      <c r="JZ464" t="s">
        <v>796</v>
      </c>
      <c r="KA464" t="s">
        <v>198</v>
      </c>
      <c r="KB464" t="s">
        <v>738</v>
      </c>
      <c r="KC464" t="s">
        <v>1</v>
      </c>
      <c r="KD464" t="s">
        <v>1</v>
      </c>
      <c r="KE464" t="s">
        <v>1</v>
      </c>
      <c r="KF464" t="s">
        <v>1</v>
      </c>
      <c r="KG464" t="s">
        <v>1</v>
      </c>
      <c r="KH464" t="s">
        <v>1</v>
      </c>
      <c r="KI464" t="s">
        <v>1</v>
      </c>
      <c r="KJ464" t="s">
        <v>1</v>
      </c>
      <c r="KK464" t="s">
        <v>1</v>
      </c>
    </row>
    <row r="465" spans="1:297" x14ac:dyDescent="0.2">
      <c r="A465">
        <v>433</v>
      </c>
      <c r="B465" t="s">
        <v>705</v>
      </c>
      <c r="C465" t="s">
        <v>533</v>
      </c>
      <c r="D465" t="s">
        <v>522</v>
      </c>
      <c r="E465">
        <v>75</v>
      </c>
      <c r="F465" t="s">
        <v>523</v>
      </c>
      <c r="G465" t="s">
        <v>1</v>
      </c>
      <c r="H465" s="26" t="s">
        <v>1420</v>
      </c>
      <c r="I465" t="s">
        <v>1</v>
      </c>
      <c r="J465" t="s">
        <v>1</v>
      </c>
      <c r="K465" t="s">
        <v>1</v>
      </c>
      <c r="L465" t="s">
        <v>1</v>
      </c>
      <c r="M465" t="s">
        <v>1</v>
      </c>
      <c r="N465" t="s">
        <v>1</v>
      </c>
      <c r="O465" t="s">
        <v>1</v>
      </c>
      <c r="P465" t="s">
        <v>1</v>
      </c>
      <c r="Q465" t="s">
        <v>1</v>
      </c>
      <c r="R465" t="s">
        <v>1</v>
      </c>
      <c r="S465" t="s">
        <v>1</v>
      </c>
      <c r="T465" t="s">
        <v>1</v>
      </c>
      <c r="U465" t="s">
        <v>1</v>
      </c>
      <c r="V465" t="s">
        <v>1</v>
      </c>
      <c r="W465" t="s">
        <v>1</v>
      </c>
      <c r="X465" t="s">
        <v>1</v>
      </c>
      <c r="Y465" t="s">
        <v>1</v>
      </c>
      <c r="Z465" t="s">
        <v>1</v>
      </c>
      <c r="AA465" t="s">
        <v>1</v>
      </c>
      <c r="AB465" t="s">
        <v>1</v>
      </c>
      <c r="AC465" t="s">
        <v>1</v>
      </c>
      <c r="AD465" t="s">
        <v>1</v>
      </c>
      <c r="AE465" t="s">
        <v>1</v>
      </c>
      <c r="AF465" t="s">
        <v>1</v>
      </c>
      <c r="AG465" t="s">
        <v>1</v>
      </c>
      <c r="AH465" t="s">
        <v>1</v>
      </c>
      <c r="AI465" t="s">
        <v>1</v>
      </c>
      <c r="AJ465" t="s">
        <v>1</v>
      </c>
      <c r="AK465" t="s">
        <v>1</v>
      </c>
      <c r="AL465" t="s">
        <v>1</v>
      </c>
      <c r="AM465" t="s">
        <v>1</v>
      </c>
      <c r="AN465">
        <v>433</v>
      </c>
      <c r="AO465">
        <f t="shared" si="59"/>
        <v>433</v>
      </c>
      <c r="AP465">
        <f t="shared" si="62"/>
        <v>75</v>
      </c>
      <c r="AQ465">
        <f t="shared" si="61"/>
        <v>75</v>
      </c>
      <c r="AR465" s="26" t="s">
        <v>1355</v>
      </c>
      <c r="AS465" s="26" t="s">
        <v>1356</v>
      </c>
      <c r="AT465" t="s">
        <v>726</v>
      </c>
      <c r="AU465" t="s">
        <v>1</v>
      </c>
      <c r="AV465" t="s">
        <v>1</v>
      </c>
      <c r="AW465">
        <v>44.77</v>
      </c>
      <c r="AX465">
        <v>11.05</v>
      </c>
      <c r="AY465" t="s">
        <v>737</v>
      </c>
      <c r="BA465" s="3">
        <v>3</v>
      </c>
      <c r="BB465" s="3"/>
      <c r="BC465" s="3"/>
      <c r="BD465" s="3"/>
      <c r="BE465" s="3"/>
      <c r="BF465">
        <v>1979</v>
      </c>
      <c r="BG465" s="24" t="s">
        <v>733</v>
      </c>
      <c r="BH465" s="24" t="s">
        <v>733</v>
      </c>
      <c r="BI465" s="24" t="s">
        <v>733</v>
      </c>
      <c r="BJ465" s="24" t="s">
        <v>732</v>
      </c>
      <c r="BK465" s="24" t="s">
        <v>733</v>
      </c>
      <c r="BL465" s="25" t="s">
        <v>733</v>
      </c>
      <c r="BM465" s="24" t="s">
        <v>733</v>
      </c>
      <c r="BN465" s="24" t="s">
        <v>732</v>
      </c>
      <c r="BO465" s="24" t="s">
        <v>733</v>
      </c>
      <c r="BP465" s="24" t="s">
        <v>733</v>
      </c>
      <c r="BQ465" s="24" t="s">
        <v>945</v>
      </c>
      <c r="BR465" s="24" t="s">
        <v>945</v>
      </c>
      <c r="BS465" s="25" t="s">
        <v>934</v>
      </c>
      <c r="BT465" s="24" t="s">
        <v>934</v>
      </c>
      <c r="BU465" s="24" t="s">
        <v>934</v>
      </c>
      <c r="BV465" s="24" t="s">
        <v>934</v>
      </c>
      <c r="BW465" s="24" t="s">
        <v>934</v>
      </c>
      <c r="BX465" s="24" t="s">
        <v>934</v>
      </c>
      <c r="BY465" s="25" t="s">
        <v>945</v>
      </c>
      <c r="BZ465" t="s">
        <v>788</v>
      </c>
      <c r="CB465" t="s">
        <v>525</v>
      </c>
      <c r="CC465" s="4" t="s">
        <v>1</v>
      </c>
      <c r="CD465" s="4"/>
      <c r="CE465" s="4"/>
      <c r="CF465" t="s">
        <v>1</v>
      </c>
      <c r="CG465" t="s">
        <v>1</v>
      </c>
      <c r="CH465" t="s">
        <v>805</v>
      </c>
      <c r="CI465" s="28">
        <v>0.9</v>
      </c>
      <c r="CJ465" s="9" t="s">
        <v>1</v>
      </c>
      <c r="CK465" s="9" t="s">
        <v>1</v>
      </c>
      <c r="CL465" s="4" t="s">
        <v>1</v>
      </c>
      <c r="CM465" t="s">
        <v>847</v>
      </c>
      <c r="CN465" s="4">
        <v>204.17</v>
      </c>
      <c r="CO465" s="4" t="s">
        <v>1</v>
      </c>
      <c r="CP465" s="4" t="s">
        <v>1</v>
      </c>
      <c r="CQ465" s="4" t="s">
        <v>1</v>
      </c>
      <c r="CR465" s="4" t="s">
        <v>1</v>
      </c>
      <c r="CS465" s="4" t="s">
        <v>1</v>
      </c>
      <c r="CT465" s="4" t="s">
        <v>1</v>
      </c>
      <c r="CU465" s="4" t="s">
        <v>1</v>
      </c>
      <c r="CV465" t="s">
        <v>855</v>
      </c>
      <c r="CW465">
        <v>100</v>
      </c>
      <c r="CX465">
        <v>0</v>
      </c>
      <c r="CY465">
        <v>25</v>
      </c>
      <c r="CZ465" s="26" t="s">
        <v>1358</v>
      </c>
      <c r="DA465" t="s">
        <v>734</v>
      </c>
      <c r="DB465">
        <v>63.7</v>
      </c>
      <c r="DC465">
        <v>0</v>
      </c>
      <c r="DD465">
        <v>25</v>
      </c>
      <c r="DE465" s="26" t="s">
        <v>1358</v>
      </c>
      <c r="DF465" t="s">
        <v>735</v>
      </c>
      <c r="DG465">
        <v>20.5</v>
      </c>
      <c r="DH465">
        <v>0</v>
      </c>
      <c r="DI465">
        <v>25</v>
      </c>
      <c r="DJ465" s="26" t="s">
        <v>1358</v>
      </c>
      <c r="DK465" t="s">
        <v>736</v>
      </c>
      <c r="DL465">
        <v>15.8</v>
      </c>
      <c r="DM465">
        <v>0</v>
      </c>
      <c r="DN465">
        <v>25</v>
      </c>
      <c r="DO465" s="26" t="s">
        <v>1358</v>
      </c>
      <c r="DP465" t="s">
        <v>1</v>
      </c>
      <c r="DQ465" t="s">
        <v>1</v>
      </c>
      <c r="DR465" t="s">
        <v>1</v>
      </c>
      <c r="DS465" t="s">
        <v>1</v>
      </c>
      <c r="DT465" t="s">
        <v>1</v>
      </c>
      <c r="DU465" t="s">
        <v>1</v>
      </c>
      <c r="EA465" t="s">
        <v>982</v>
      </c>
      <c r="EB465">
        <v>7</v>
      </c>
      <c r="EC465">
        <v>0</v>
      </c>
      <c r="ED465">
        <v>25</v>
      </c>
      <c r="EE465" s="26" t="s">
        <v>1358</v>
      </c>
      <c r="EF465" s="26"/>
      <c r="FZ465" t="s">
        <v>806</v>
      </c>
      <c r="GA465">
        <v>867.32500000000005</v>
      </c>
      <c r="GE465" s="26" t="s">
        <v>1358</v>
      </c>
      <c r="HA465" s="5" t="s">
        <v>1</v>
      </c>
      <c r="HB465" s="4" t="s">
        <v>1</v>
      </c>
      <c r="HC465" t="s">
        <v>1</v>
      </c>
      <c r="HD465" t="s">
        <v>1</v>
      </c>
      <c r="HE465" t="s">
        <v>1</v>
      </c>
      <c r="HF465" s="5" t="s">
        <v>1063</v>
      </c>
      <c r="HG465" s="4">
        <v>1.1100000000000003</v>
      </c>
      <c r="HH465">
        <v>0</v>
      </c>
      <c r="HI465">
        <v>25</v>
      </c>
      <c r="HJ465" s="26" t="s">
        <v>1358</v>
      </c>
      <c r="HK465" t="s">
        <v>815</v>
      </c>
      <c r="HL465">
        <v>1.26</v>
      </c>
      <c r="HM465">
        <v>0</v>
      </c>
      <c r="HN465">
        <v>25</v>
      </c>
      <c r="HO465" t="s">
        <v>1</v>
      </c>
      <c r="HP465" s="26" t="s">
        <v>1358</v>
      </c>
      <c r="HZ465" t="s">
        <v>1</v>
      </c>
      <c r="IA465" t="s">
        <v>1</v>
      </c>
      <c r="IB465" s="10" t="s">
        <v>1</v>
      </c>
      <c r="IC465" s="10"/>
      <c r="ID465" s="10"/>
      <c r="IE465" s="10" t="s">
        <v>1</v>
      </c>
      <c r="IF465" s="10" t="s">
        <v>1</v>
      </c>
      <c r="IG465" s="10"/>
      <c r="IH465" s="10"/>
      <c r="II465" s="10"/>
      <c r="IJ465" s="10"/>
      <c r="IK465" s="10"/>
      <c r="IL465" s="10"/>
      <c r="IM465" s="10"/>
      <c r="IN465" s="10"/>
      <c r="IO465" s="10"/>
      <c r="IP465" s="10"/>
      <c r="IQ465" s="10"/>
      <c r="IR465" s="10"/>
      <c r="IS465" t="s">
        <v>1</v>
      </c>
      <c r="IT465" t="s">
        <v>1</v>
      </c>
      <c r="IW465" t="s">
        <v>1</v>
      </c>
      <c r="IX465" t="s">
        <v>1</v>
      </c>
      <c r="IY465" t="s">
        <v>808</v>
      </c>
      <c r="IZ465">
        <v>1675</v>
      </c>
      <c r="JA465" t="s">
        <v>1</v>
      </c>
      <c r="JB465" s="3" t="s">
        <v>1</v>
      </c>
      <c r="JC465" t="s">
        <v>1</v>
      </c>
      <c r="JD465" s="4" t="s">
        <v>1</v>
      </c>
      <c r="JE465" t="s">
        <v>1</v>
      </c>
      <c r="JF465" t="s">
        <v>1</v>
      </c>
      <c r="JR465" t="s">
        <v>1066</v>
      </c>
      <c r="JS465">
        <v>156.9</v>
      </c>
      <c r="JU465" t="s">
        <v>1</v>
      </c>
      <c r="JW465" t="s">
        <v>1</v>
      </c>
      <c r="JX465">
        <v>0</v>
      </c>
      <c r="JY465">
        <v>90</v>
      </c>
      <c r="JZ465" t="s">
        <v>796</v>
      </c>
      <c r="KA465" t="s">
        <v>198</v>
      </c>
      <c r="KB465" t="s">
        <v>738</v>
      </c>
      <c r="KC465" t="s">
        <v>1</v>
      </c>
      <c r="KD465" t="s">
        <v>1</v>
      </c>
      <c r="KE465" t="s">
        <v>1</v>
      </c>
      <c r="KF465" t="s">
        <v>1</v>
      </c>
      <c r="KG465" t="s">
        <v>1</v>
      </c>
      <c r="KH465" t="s">
        <v>1</v>
      </c>
      <c r="KI465" t="s">
        <v>1</v>
      </c>
      <c r="KJ465" t="s">
        <v>1</v>
      </c>
      <c r="KK465" t="s">
        <v>1</v>
      </c>
    </row>
    <row r="466" spans="1:297" x14ac:dyDescent="0.2">
      <c r="A466">
        <v>434</v>
      </c>
      <c r="B466" t="s">
        <v>705</v>
      </c>
      <c r="C466" t="s">
        <v>534</v>
      </c>
      <c r="D466" t="s">
        <v>522</v>
      </c>
      <c r="E466">
        <v>75</v>
      </c>
      <c r="F466" t="s">
        <v>523</v>
      </c>
      <c r="G466" t="s">
        <v>1</v>
      </c>
      <c r="H466" s="26" t="s">
        <v>1420</v>
      </c>
      <c r="I466" t="s">
        <v>1</v>
      </c>
      <c r="J466" t="s">
        <v>1</v>
      </c>
      <c r="K466" t="s">
        <v>1</v>
      </c>
      <c r="L466" t="s">
        <v>1</v>
      </c>
      <c r="M466" t="s">
        <v>1</v>
      </c>
      <c r="N466" t="s">
        <v>1</v>
      </c>
      <c r="O466" t="s">
        <v>1</v>
      </c>
      <c r="P466" t="s">
        <v>1</v>
      </c>
      <c r="Q466" t="s">
        <v>1</v>
      </c>
      <c r="R466" t="s">
        <v>1</v>
      </c>
      <c r="S466" t="s">
        <v>1</v>
      </c>
      <c r="T466" t="s">
        <v>1</v>
      </c>
      <c r="U466" t="s">
        <v>1</v>
      </c>
      <c r="V466" t="s">
        <v>1</v>
      </c>
      <c r="W466" t="s">
        <v>1</v>
      </c>
      <c r="X466" t="s">
        <v>1</v>
      </c>
      <c r="Y466" t="s">
        <v>1</v>
      </c>
      <c r="Z466" t="s">
        <v>1</v>
      </c>
      <c r="AA466" t="s">
        <v>1</v>
      </c>
      <c r="AB466" t="s">
        <v>1</v>
      </c>
      <c r="AC466" t="s">
        <v>1</v>
      </c>
      <c r="AD466" t="s">
        <v>1</v>
      </c>
      <c r="AE466" t="s">
        <v>1</v>
      </c>
      <c r="AF466" t="s">
        <v>1</v>
      </c>
      <c r="AG466" t="s">
        <v>1</v>
      </c>
      <c r="AH466" t="s">
        <v>1</v>
      </c>
      <c r="AI466" t="s">
        <v>1</v>
      </c>
      <c r="AJ466" t="s">
        <v>1</v>
      </c>
      <c r="AK466" t="s">
        <v>1</v>
      </c>
      <c r="AL466" t="s">
        <v>1</v>
      </c>
      <c r="AM466" t="s">
        <v>1</v>
      </c>
      <c r="AN466">
        <v>434</v>
      </c>
      <c r="AO466">
        <f t="shared" si="59"/>
        <v>434</v>
      </c>
      <c r="AP466">
        <f t="shared" si="62"/>
        <v>75</v>
      </c>
      <c r="AQ466">
        <f t="shared" si="61"/>
        <v>75</v>
      </c>
      <c r="AR466" s="26" t="s">
        <v>1355</v>
      </c>
      <c r="AS466" s="26" t="s">
        <v>1356</v>
      </c>
      <c r="AT466" t="s">
        <v>726</v>
      </c>
      <c r="AU466" t="s">
        <v>1</v>
      </c>
      <c r="AV466" t="s">
        <v>1</v>
      </c>
      <c r="AW466">
        <v>44.77</v>
      </c>
      <c r="AX466">
        <v>11.05</v>
      </c>
      <c r="AY466" t="s">
        <v>737</v>
      </c>
      <c r="BA466" s="3">
        <v>3</v>
      </c>
      <c r="BB466" s="3"/>
      <c r="BC466" s="3"/>
      <c r="BD466" s="3"/>
      <c r="BE466" s="3"/>
      <c r="BF466">
        <v>1979</v>
      </c>
      <c r="BG466" s="24" t="s">
        <v>733</v>
      </c>
      <c r="BH466" s="24" t="s">
        <v>733</v>
      </c>
      <c r="BI466" s="24" t="s">
        <v>733</v>
      </c>
      <c r="BJ466" s="24" t="s">
        <v>732</v>
      </c>
      <c r="BK466" s="24" t="s">
        <v>733</v>
      </c>
      <c r="BL466" s="25" t="s">
        <v>733</v>
      </c>
      <c r="BM466" s="24" t="s">
        <v>733</v>
      </c>
      <c r="BN466" s="24" t="s">
        <v>732</v>
      </c>
      <c r="BO466" s="24" t="s">
        <v>733</v>
      </c>
      <c r="BP466" s="24" t="s">
        <v>733</v>
      </c>
      <c r="BQ466" s="24" t="s">
        <v>945</v>
      </c>
      <c r="BR466" s="24" t="s">
        <v>945</v>
      </c>
      <c r="BS466" s="25" t="s">
        <v>934</v>
      </c>
      <c r="BT466" s="24" t="s">
        <v>934</v>
      </c>
      <c r="BU466" s="24" t="s">
        <v>934</v>
      </c>
      <c r="BV466" s="24" t="s">
        <v>934</v>
      </c>
      <c r="BW466" s="24" t="s">
        <v>934</v>
      </c>
      <c r="BX466" s="24" t="s">
        <v>934</v>
      </c>
      <c r="BY466" s="25" t="s">
        <v>945</v>
      </c>
      <c r="BZ466" t="s">
        <v>788</v>
      </c>
      <c r="CB466" t="s">
        <v>525</v>
      </c>
      <c r="CC466" s="4" t="s">
        <v>1</v>
      </c>
      <c r="CD466" s="4"/>
      <c r="CE466" s="4"/>
      <c r="CF466" t="s">
        <v>1</v>
      </c>
      <c r="CG466" t="s">
        <v>1</v>
      </c>
      <c r="CH466" t="s">
        <v>805</v>
      </c>
      <c r="CI466" s="28">
        <v>0.9</v>
      </c>
      <c r="CJ466" s="9" t="s">
        <v>1</v>
      </c>
      <c r="CK466" s="9" t="s">
        <v>1</v>
      </c>
      <c r="CL466" s="4" t="s">
        <v>1</v>
      </c>
      <c r="CM466" t="s">
        <v>847</v>
      </c>
      <c r="CN466" s="4">
        <v>324.07</v>
      </c>
      <c r="CO466" s="4" t="s">
        <v>1</v>
      </c>
      <c r="CP466" s="4" t="s">
        <v>1</v>
      </c>
      <c r="CQ466" s="4" t="s">
        <v>1</v>
      </c>
      <c r="CR466" s="4" t="s">
        <v>1</v>
      </c>
      <c r="CS466" s="4" t="s">
        <v>1</v>
      </c>
      <c r="CT466" s="4" t="s">
        <v>1</v>
      </c>
      <c r="CU466" s="4" t="s">
        <v>1</v>
      </c>
      <c r="CV466" t="s">
        <v>855</v>
      </c>
      <c r="CW466">
        <v>100</v>
      </c>
      <c r="CX466">
        <v>0</v>
      </c>
      <c r="CY466">
        <v>25</v>
      </c>
      <c r="CZ466" s="26" t="s">
        <v>1358</v>
      </c>
      <c r="DA466" t="s">
        <v>734</v>
      </c>
      <c r="DB466">
        <v>63.7</v>
      </c>
      <c r="DC466">
        <v>0</v>
      </c>
      <c r="DD466">
        <v>25</v>
      </c>
      <c r="DE466" s="26" t="s">
        <v>1358</v>
      </c>
      <c r="DF466" t="s">
        <v>735</v>
      </c>
      <c r="DG466">
        <v>20.5</v>
      </c>
      <c r="DH466">
        <v>0</v>
      </c>
      <c r="DI466">
        <v>25</v>
      </c>
      <c r="DJ466" s="26" t="s">
        <v>1358</v>
      </c>
      <c r="DK466" t="s">
        <v>736</v>
      </c>
      <c r="DL466">
        <v>15.8</v>
      </c>
      <c r="DM466">
        <v>0</v>
      </c>
      <c r="DN466">
        <v>25</v>
      </c>
      <c r="DO466" s="26" t="s">
        <v>1358</v>
      </c>
      <c r="DP466" t="s">
        <v>1</v>
      </c>
      <c r="DQ466" t="s">
        <v>1</v>
      </c>
      <c r="DR466" t="s">
        <v>1</v>
      </c>
      <c r="DS466" t="s">
        <v>1</v>
      </c>
      <c r="DT466" t="s">
        <v>1</v>
      </c>
      <c r="DU466" t="s">
        <v>1</v>
      </c>
      <c r="EA466" t="s">
        <v>982</v>
      </c>
      <c r="EB466">
        <v>7</v>
      </c>
      <c r="EC466">
        <v>0</v>
      </c>
      <c r="ED466">
        <v>25</v>
      </c>
      <c r="EE466" s="26" t="s">
        <v>1358</v>
      </c>
      <c r="EF466" s="26"/>
      <c r="FZ466" t="s">
        <v>806</v>
      </c>
      <c r="GA466">
        <v>867.32500000000005</v>
      </c>
      <c r="GE466" s="26" t="s">
        <v>1358</v>
      </c>
      <c r="HA466" s="5" t="s">
        <v>1</v>
      </c>
      <c r="HB466" s="4" t="s">
        <v>1</v>
      </c>
      <c r="HC466" t="s">
        <v>1</v>
      </c>
      <c r="HD466" t="s">
        <v>1</v>
      </c>
      <c r="HE466" t="s">
        <v>1</v>
      </c>
      <c r="HF466" s="5" t="s">
        <v>1063</v>
      </c>
      <c r="HG466" s="4">
        <v>1.1100000000000003</v>
      </c>
      <c r="HH466">
        <v>0</v>
      </c>
      <c r="HI466">
        <v>25</v>
      </c>
      <c r="HJ466" s="26" t="s">
        <v>1358</v>
      </c>
      <c r="HK466" t="s">
        <v>815</v>
      </c>
      <c r="HL466">
        <v>1.26</v>
      </c>
      <c r="HM466">
        <v>0</v>
      </c>
      <c r="HN466">
        <v>25</v>
      </c>
      <c r="HO466" t="s">
        <v>1</v>
      </c>
      <c r="HP466" s="26" t="s">
        <v>1358</v>
      </c>
      <c r="HZ466" t="s">
        <v>1</v>
      </c>
      <c r="IA466" t="s">
        <v>1</v>
      </c>
      <c r="IB466" s="10" t="s">
        <v>1</v>
      </c>
      <c r="IC466" s="10"/>
      <c r="ID466" s="10"/>
      <c r="IE466" s="10" t="s">
        <v>1</v>
      </c>
      <c r="IF466" s="10" t="s">
        <v>1</v>
      </c>
      <c r="IG466" s="10"/>
      <c r="IH466" s="10"/>
      <c r="II466" s="10"/>
      <c r="IJ466" s="10"/>
      <c r="IK466" s="10"/>
      <c r="IL466" s="10"/>
      <c r="IM466" s="10"/>
      <c r="IN466" s="10"/>
      <c r="IO466" s="10"/>
      <c r="IP466" s="10"/>
      <c r="IQ466" s="10"/>
      <c r="IR466" s="10"/>
      <c r="IS466" t="s">
        <v>1</v>
      </c>
      <c r="IT466" t="s">
        <v>1</v>
      </c>
      <c r="IW466" t="s">
        <v>979</v>
      </c>
      <c r="IX466">
        <v>277</v>
      </c>
      <c r="IY466" t="s">
        <v>808</v>
      </c>
      <c r="IZ466">
        <v>1675</v>
      </c>
      <c r="JA466" t="s">
        <v>1</v>
      </c>
      <c r="JB466" s="3" t="s">
        <v>1</v>
      </c>
      <c r="JC466" t="s">
        <v>1</v>
      </c>
      <c r="JD466" s="4" t="s">
        <v>1</v>
      </c>
      <c r="JE466" t="s">
        <v>1</v>
      </c>
      <c r="JF466" t="s">
        <v>1</v>
      </c>
      <c r="JR466" t="s">
        <v>1066</v>
      </c>
      <c r="JS466">
        <v>181</v>
      </c>
      <c r="JU466" t="s">
        <v>1</v>
      </c>
      <c r="JW466" t="s">
        <v>1</v>
      </c>
      <c r="JX466">
        <v>0</v>
      </c>
      <c r="JY466">
        <v>90</v>
      </c>
      <c r="JZ466" t="s">
        <v>796</v>
      </c>
      <c r="KA466" t="s">
        <v>198</v>
      </c>
      <c r="KB466" t="s">
        <v>738</v>
      </c>
      <c r="KC466" t="s">
        <v>1</v>
      </c>
      <c r="KD466" t="s">
        <v>1</v>
      </c>
      <c r="KE466" t="s">
        <v>1</v>
      </c>
      <c r="KF466" t="s">
        <v>1</v>
      </c>
      <c r="KG466" t="s">
        <v>1</v>
      </c>
      <c r="KH466" t="s">
        <v>1</v>
      </c>
      <c r="KI466" t="s">
        <v>1</v>
      </c>
      <c r="KJ466" t="s">
        <v>1</v>
      </c>
      <c r="KK466" t="s">
        <v>1</v>
      </c>
    </row>
    <row r="467" spans="1:297" x14ac:dyDescent="0.2">
      <c r="A467">
        <v>435</v>
      </c>
      <c r="B467" t="s">
        <v>705</v>
      </c>
      <c r="C467" t="s">
        <v>535</v>
      </c>
      <c r="D467" t="s">
        <v>522</v>
      </c>
      <c r="E467">
        <v>75</v>
      </c>
      <c r="F467" t="s">
        <v>523</v>
      </c>
      <c r="G467" t="s">
        <v>1</v>
      </c>
      <c r="H467" s="26" t="s">
        <v>1420</v>
      </c>
      <c r="I467" t="s">
        <v>1</v>
      </c>
      <c r="J467" t="s">
        <v>1</v>
      </c>
      <c r="K467" t="s">
        <v>1</v>
      </c>
      <c r="L467" t="s">
        <v>1</v>
      </c>
      <c r="M467" t="s">
        <v>1</v>
      </c>
      <c r="N467" t="s">
        <v>1</v>
      </c>
      <c r="O467" t="s">
        <v>1</v>
      </c>
      <c r="P467" t="s">
        <v>1</v>
      </c>
      <c r="Q467" t="s">
        <v>1</v>
      </c>
      <c r="R467" t="s">
        <v>1</v>
      </c>
      <c r="S467" t="s">
        <v>1</v>
      </c>
      <c r="T467" t="s">
        <v>1</v>
      </c>
      <c r="U467" t="s">
        <v>1</v>
      </c>
      <c r="V467" t="s">
        <v>1</v>
      </c>
      <c r="W467" t="s">
        <v>1</v>
      </c>
      <c r="X467" t="s">
        <v>1</v>
      </c>
      <c r="Y467" t="s">
        <v>1</v>
      </c>
      <c r="Z467" t="s">
        <v>1</v>
      </c>
      <c r="AA467" t="s">
        <v>1</v>
      </c>
      <c r="AB467" t="s">
        <v>1</v>
      </c>
      <c r="AC467" t="s">
        <v>1</v>
      </c>
      <c r="AD467" t="s">
        <v>1</v>
      </c>
      <c r="AE467" t="s">
        <v>1</v>
      </c>
      <c r="AF467" t="s">
        <v>1</v>
      </c>
      <c r="AG467" t="s">
        <v>1</v>
      </c>
      <c r="AH467" t="s">
        <v>1</v>
      </c>
      <c r="AI467" t="s">
        <v>1</v>
      </c>
      <c r="AJ467" t="s">
        <v>1</v>
      </c>
      <c r="AK467" t="s">
        <v>1</v>
      </c>
      <c r="AL467" t="s">
        <v>1</v>
      </c>
      <c r="AM467" t="s">
        <v>1</v>
      </c>
      <c r="AN467">
        <v>435</v>
      </c>
      <c r="AO467">
        <f t="shared" si="59"/>
        <v>435</v>
      </c>
      <c r="AP467">
        <f t="shared" si="62"/>
        <v>75</v>
      </c>
      <c r="AQ467">
        <f t="shared" si="61"/>
        <v>75</v>
      </c>
      <c r="AR467" s="26" t="s">
        <v>1355</v>
      </c>
      <c r="AS467" s="26" t="s">
        <v>1356</v>
      </c>
      <c r="AT467" t="s">
        <v>726</v>
      </c>
      <c r="AU467" t="s">
        <v>1</v>
      </c>
      <c r="AV467" t="s">
        <v>1</v>
      </c>
      <c r="AW467">
        <v>44.77</v>
      </c>
      <c r="AX467">
        <v>11.05</v>
      </c>
      <c r="AY467" t="s">
        <v>737</v>
      </c>
      <c r="BA467" s="3">
        <v>3</v>
      </c>
      <c r="BB467" s="3"/>
      <c r="BC467" s="3"/>
      <c r="BD467" s="3"/>
      <c r="BE467" s="3"/>
      <c r="BF467">
        <v>1979</v>
      </c>
      <c r="BG467" s="24" t="s">
        <v>733</v>
      </c>
      <c r="BH467" s="24" t="s">
        <v>733</v>
      </c>
      <c r="BI467" s="24" t="s">
        <v>733</v>
      </c>
      <c r="BJ467" s="24" t="s">
        <v>732</v>
      </c>
      <c r="BK467" s="24" t="s">
        <v>733</v>
      </c>
      <c r="BL467" s="25" t="s">
        <v>733</v>
      </c>
      <c r="BM467" s="24" t="s">
        <v>733</v>
      </c>
      <c r="BN467" s="24" t="s">
        <v>732</v>
      </c>
      <c r="BO467" s="24" t="s">
        <v>733</v>
      </c>
      <c r="BP467" s="24" t="s">
        <v>733</v>
      </c>
      <c r="BQ467" s="24" t="s">
        <v>945</v>
      </c>
      <c r="BR467" s="24" t="s">
        <v>945</v>
      </c>
      <c r="BS467" s="25" t="s">
        <v>934</v>
      </c>
      <c r="BT467" s="24" t="s">
        <v>934</v>
      </c>
      <c r="BU467" s="24" t="s">
        <v>934</v>
      </c>
      <c r="BV467" s="24" t="s">
        <v>934</v>
      </c>
      <c r="BW467" s="24" t="s">
        <v>934</v>
      </c>
      <c r="BX467" s="24" t="s">
        <v>934</v>
      </c>
      <c r="BY467" s="25" t="s">
        <v>945</v>
      </c>
      <c r="BZ467" t="s">
        <v>788</v>
      </c>
      <c r="CB467" t="s">
        <v>525</v>
      </c>
      <c r="CC467" s="4" t="s">
        <v>1</v>
      </c>
      <c r="CD467" s="4"/>
      <c r="CE467" s="4"/>
      <c r="CF467" t="s">
        <v>1</v>
      </c>
      <c r="CG467" t="s">
        <v>1</v>
      </c>
      <c r="CH467" t="s">
        <v>805</v>
      </c>
      <c r="CI467" s="28">
        <v>0.9</v>
      </c>
      <c r="CJ467" s="9" t="s">
        <v>1</v>
      </c>
      <c r="CK467" s="9" t="s">
        <v>1</v>
      </c>
      <c r="CL467" s="4" t="s">
        <v>1</v>
      </c>
      <c r="CM467" t="s">
        <v>847</v>
      </c>
      <c r="CN467" s="4">
        <v>374.59</v>
      </c>
      <c r="CO467" s="4" t="s">
        <v>1</v>
      </c>
      <c r="CP467" s="4" t="s">
        <v>1</v>
      </c>
      <c r="CQ467" s="4" t="s">
        <v>1</v>
      </c>
      <c r="CR467" s="4" t="s">
        <v>1</v>
      </c>
      <c r="CS467" s="4" t="s">
        <v>1</v>
      </c>
      <c r="CT467" s="4" t="s">
        <v>1</v>
      </c>
      <c r="CU467" s="4" t="s">
        <v>1</v>
      </c>
      <c r="CV467" t="s">
        <v>855</v>
      </c>
      <c r="CW467">
        <v>100</v>
      </c>
      <c r="CX467">
        <v>0</v>
      </c>
      <c r="CY467">
        <v>25</v>
      </c>
      <c r="CZ467" s="26" t="s">
        <v>1358</v>
      </c>
      <c r="DA467" t="s">
        <v>734</v>
      </c>
      <c r="DB467">
        <v>63.7</v>
      </c>
      <c r="DC467">
        <v>0</v>
      </c>
      <c r="DD467">
        <v>25</v>
      </c>
      <c r="DE467" s="26" t="s">
        <v>1358</v>
      </c>
      <c r="DF467" t="s">
        <v>735</v>
      </c>
      <c r="DG467">
        <v>20.5</v>
      </c>
      <c r="DH467">
        <v>0</v>
      </c>
      <c r="DI467">
        <v>25</v>
      </c>
      <c r="DJ467" s="26" t="s">
        <v>1358</v>
      </c>
      <c r="DK467" t="s">
        <v>736</v>
      </c>
      <c r="DL467">
        <v>15.8</v>
      </c>
      <c r="DM467">
        <v>0</v>
      </c>
      <c r="DN467">
        <v>25</v>
      </c>
      <c r="DO467" s="26" t="s">
        <v>1358</v>
      </c>
      <c r="DP467" t="s">
        <v>1</v>
      </c>
      <c r="DQ467" t="s">
        <v>1</v>
      </c>
      <c r="DR467" t="s">
        <v>1</v>
      </c>
      <c r="DS467" t="s">
        <v>1</v>
      </c>
      <c r="DT467" t="s">
        <v>1</v>
      </c>
      <c r="DU467" t="s">
        <v>1</v>
      </c>
      <c r="EA467" t="s">
        <v>982</v>
      </c>
      <c r="EB467">
        <v>7</v>
      </c>
      <c r="EC467">
        <v>0</v>
      </c>
      <c r="ED467">
        <v>25</v>
      </c>
      <c r="EE467" s="26" t="s">
        <v>1358</v>
      </c>
      <c r="EF467" s="26"/>
      <c r="FZ467" t="s">
        <v>806</v>
      </c>
      <c r="GA467">
        <v>867.32500000000005</v>
      </c>
      <c r="GE467" s="26" t="s">
        <v>1358</v>
      </c>
      <c r="HA467" s="5" t="s">
        <v>1</v>
      </c>
      <c r="HB467" s="4" t="s">
        <v>1</v>
      </c>
      <c r="HC467" t="s">
        <v>1</v>
      </c>
      <c r="HD467" t="s">
        <v>1</v>
      </c>
      <c r="HE467" t="s">
        <v>1</v>
      </c>
      <c r="HF467" s="5" t="s">
        <v>1063</v>
      </c>
      <c r="HG467" s="4">
        <v>1.1100000000000003</v>
      </c>
      <c r="HH467">
        <v>0</v>
      </c>
      <c r="HI467">
        <v>25</v>
      </c>
      <c r="HJ467" s="26" t="s">
        <v>1358</v>
      </c>
      <c r="HK467" t="s">
        <v>815</v>
      </c>
      <c r="HL467">
        <v>1.26</v>
      </c>
      <c r="HM467">
        <v>0</v>
      </c>
      <c r="HN467">
        <v>25</v>
      </c>
      <c r="HO467" t="s">
        <v>1</v>
      </c>
      <c r="HP467" s="26" t="s">
        <v>1358</v>
      </c>
      <c r="HZ467" t="s">
        <v>1</v>
      </c>
      <c r="IA467" t="s">
        <v>1</v>
      </c>
      <c r="IB467" s="10" t="s">
        <v>1</v>
      </c>
      <c r="IC467" s="10"/>
      <c r="ID467" s="10"/>
      <c r="IE467" s="10" t="s">
        <v>1</v>
      </c>
      <c r="IF467" s="10" t="s">
        <v>1</v>
      </c>
      <c r="IG467" s="10"/>
      <c r="IH467" s="10"/>
      <c r="II467" s="10"/>
      <c r="IJ467" s="10"/>
      <c r="IK467" s="10"/>
      <c r="IL467" s="10"/>
      <c r="IM467" s="10"/>
      <c r="IN467" s="10"/>
      <c r="IO467" s="10"/>
      <c r="IP467" s="10"/>
      <c r="IQ467" s="10"/>
      <c r="IR467" s="10"/>
      <c r="IS467" t="s">
        <v>1</v>
      </c>
      <c r="IT467" t="s">
        <v>1</v>
      </c>
      <c r="IW467" t="s">
        <v>979</v>
      </c>
      <c r="IX467">
        <v>553</v>
      </c>
      <c r="IY467" t="s">
        <v>808</v>
      </c>
      <c r="IZ467">
        <v>1675</v>
      </c>
      <c r="JA467" t="s">
        <v>1</v>
      </c>
      <c r="JB467" s="3" t="s">
        <v>1</v>
      </c>
      <c r="JC467" t="s">
        <v>1</v>
      </c>
      <c r="JD467" s="4" t="s">
        <v>1</v>
      </c>
      <c r="JE467" t="s">
        <v>1</v>
      </c>
      <c r="JF467" t="s">
        <v>1</v>
      </c>
      <c r="JR467" t="s">
        <v>1066</v>
      </c>
      <c r="JS467">
        <v>462.3</v>
      </c>
      <c r="JU467" t="s">
        <v>1</v>
      </c>
      <c r="JW467" t="s">
        <v>1</v>
      </c>
      <c r="JX467">
        <v>0</v>
      </c>
      <c r="JY467">
        <v>90</v>
      </c>
      <c r="JZ467" t="s">
        <v>796</v>
      </c>
      <c r="KA467" t="s">
        <v>198</v>
      </c>
      <c r="KB467" t="s">
        <v>738</v>
      </c>
      <c r="KC467" t="s">
        <v>1</v>
      </c>
      <c r="KD467" t="s">
        <v>1</v>
      </c>
      <c r="KE467" t="s">
        <v>1</v>
      </c>
      <c r="KF467" t="s">
        <v>1</v>
      </c>
      <c r="KG467" t="s">
        <v>1</v>
      </c>
      <c r="KH467" t="s">
        <v>1</v>
      </c>
      <c r="KI467" t="s">
        <v>1</v>
      </c>
      <c r="KJ467" t="s">
        <v>1</v>
      </c>
      <c r="KK467" t="s">
        <v>1</v>
      </c>
    </row>
    <row r="468" spans="1:297" x14ac:dyDescent="0.2">
      <c r="A468">
        <v>436</v>
      </c>
      <c r="B468" t="s">
        <v>705</v>
      </c>
      <c r="C468" t="s">
        <v>536</v>
      </c>
      <c r="D468" t="s">
        <v>522</v>
      </c>
      <c r="E468">
        <v>75</v>
      </c>
      <c r="F468" t="s">
        <v>523</v>
      </c>
      <c r="G468" t="s">
        <v>1</v>
      </c>
      <c r="H468" s="26" t="s">
        <v>1420</v>
      </c>
      <c r="I468" t="s">
        <v>1</v>
      </c>
      <c r="J468" t="s">
        <v>1</v>
      </c>
      <c r="K468" t="s">
        <v>1</v>
      </c>
      <c r="L468" t="s">
        <v>1</v>
      </c>
      <c r="M468" t="s">
        <v>1</v>
      </c>
      <c r="N468" t="s">
        <v>1</v>
      </c>
      <c r="O468" t="s">
        <v>1</v>
      </c>
      <c r="P468" t="s">
        <v>1</v>
      </c>
      <c r="Q468" t="s">
        <v>1</v>
      </c>
      <c r="R468" t="s">
        <v>1</v>
      </c>
      <c r="S468" t="s">
        <v>1</v>
      </c>
      <c r="T468" t="s">
        <v>1</v>
      </c>
      <c r="U468" t="s">
        <v>1</v>
      </c>
      <c r="V468" t="s">
        <v>1</v>
      </c>
      <c r="W468" t="s">
        <v>1</v>
      </c>
      <c r="X468" t="s">
        <v>1</v>
      </c>
      <c r="Y468" t="s">
        <v>1</v>
      </c>
      <c r="Z468" t="s">
        <v>1</v>
      </c>
      <c r="AA468" t="s">
        <v>1</v>
      </c>
      <c r="AB468" t="s">
        <v>1</v>
      </c>
      <c r="AC468" t="s">
        <v>1</v>
      </c>
      <c r="AD468" t="s">
        <v>1</v>
      </c>
      <c r="AE468" t="s">
        <v>1</v>
      </c>
      <c r="AF468" t="s">
        <v>1</v>
      </c>
      <c r="AG468" t="s">
        <v>1</v>
      </c>
      <c r="AH468" t="s">
        <v>1</v>
      </c>
      <c r="AI468" t="s">
        <v>1</v>
      </c>
      <c r="AJ468" t="s">
        <v>1</v>
      </c>
      <c r="AK468" t="s">
        <v>1</v>
      </c>
      <c r="AL468" t="s">
        <v>1</v>
      </c>
      <c r="AM468" t="s">
        <v>1</v>
      </c>
      <c r="AN468">
        <v>436</v>
      </c>
      <c r="AO468">
        <f t="shared" si="59"/>
        <v>436</v>
      </c>
      <c r="AP468">
        <f t="shared" si="62"/>
        <v>75</v>
      </c>
      <c r="AQ468">
        <f t="shared" si="61"/>
        <v>75</v>
      </c>
      <c r="AR468" s="26" t="s">
        <v>1355</v>
      </c>
      <c r="AS468" s="26" t="s">
        <v>1356</v>
      </c>
      <c r="AT468" t="s">
        <v>726</v>
      </c>
      <c r="AU468" t="s">
        <v>1</v>
      </c>
      <c r="AV468" t="s">
        <v>1</v>
      </c>
      <c r="AW468">
        <v>44.77</v>
      </c>
      <c r="AX468">
        <v>11.05</v>
      </c>
      <c r="AY468" t="s">
        <v>737</v>
      </c>
      <c r="BA468" s="3">
        <v>3</v>
      </c>
      <c r="BB468" s="3"/>
      <c r="BC468" s="3"/>
      <c r="BD468" s="3"/>
      <c r="BE468" s="3"/>
      <c r="BF468">
        <v>1979</v>
      </c>
      <c r="BG468" s="24" t="s">
        <v>733</v>
      </c>
      <c r="BH468" s="24" t="s">
        <v>733</v>
      </c>
      <c r="BI468" s="24" t="s">
        <v>733</v>
      </c>
      <c r="BJ468" s="24" t="s">
        <v>732</v>
      </c>
      <c r="BK468" s="24" t="s">
        <v>733</v>
      </c>
      <c r="BL468" s="25" t="s">
        <v>733</v>
      </c>
      <c r="BM468" s="24" t="s">
        <v>733</v>
      </c>
      <c r="BN468" s="24" t="s">
        <v>732</v>
      </c>
      <c r="BO468" s="24" t="s">
        <v>733</v>
      </c>
      <c r="BP468" s="24" t="s">
        <v>733</v>
      </c>
      <c r="BQ468" s="24" t="s">
        <v>945</v>
      </c>
      <c r="BR468" s="24" t="s">
        <v>945</v>
      </c>
      <c r="BS468" s="25" t="s">
        <v>934</v>
      </c>
      <c r="BT468" s="24" t="s">
        <v>934</v>
      </c>
      <c r="BU468" s="24" t="s">
        <v>934</v>
      </c>
      <c r="BV468" s="24" t="s">
        <v>934</v>
      </c>
      <c r="BW468" s="24" t="s">
        <v>934</v>
      </c>
      <c r="BX468" s="24" t="s">
        <v>934</v>
      </c>
      <c r="BY468" s="25" t="s">
        <v>945</v>
      </c>
      <c r="BZ468" t="s">
        <v>788</v>
      </c>
      <c r="CB468" t="s">
        <v>525</v>
      </c>
      <c r="CC468" s="4" t="s">
        <v>1</v>
      </c>
      <c r="CD468" s="4"/>
      <c r="CE468" s="4"/>
      <c r="CF468" t="s">
        <v>1</v>
      </c>
      <c r="CG468" t="s">
        <v>1</v>
      </c>
      <c r="CH468" t="s">
        <v>805</v>
      </c>
      <c r="CI468" s="28">
        <v>0.9</v>
      </c>
      <c r="CJ468" s="9" t="s">
        <v>1</v>
      </c>
      <c r="CK468" s="9" t="s">
        <v>1</v>
      </c>
      <c r="CL468" s="4" t="s">
        <v>1</v>
      </c>
      <c r="CM468" t="s">
        <v>847</v>
      </c>
      <c r="CN468" s="4">
        <v>459.44</v>
      </c>
      <c r="CO468" s="4" t="s">
        <v>1</v>
      </c>
      <c r="CP468" s="4" t="s">
        <v>1</v>
      </c>
      <c r="CQ468" s="4" t="s">
        <v>1</v>
      </c>
      <c r="CR468" s="4" t="s">
        <v>1</v>
      </c>
      <c r="CS468" s="4" t="s">
        <v>1</v>
      </c>
      <c r="CT468" s="4" t="s">
        <v>1</v>
      </c>
      <c r="CU468" s="4" t="s">
        <v>1</v>
      </c>
      <c r="CV468" t="s">
        <v>855</v>
      </c>
      <c r="CW468">
        <v>100</v>
      </c>
      <c r="CX468">
        <v>0</v>
      </c>
      <c r="CY468">
        <v>25</v>
      </c>
      <c r="CZ468" s="26" t="s">
        <v>1358</v>
      </c>
      <c r="DA468" t="s">
        <v>734</v>
      </c>
      <c r="DB468">
        <v>63.7</v>
      </c>
      <c r="DC468">
        <v>0</v>
      </c>
      <c r="DD468">
        <v>25</v>
      </c>
      <c r="DE468" s="26" t="s">
        <v>1358</v>
      </c>
      <c r="DF468" t="s">
        <v>735</v>
      </c>
      <c r="DG468">
        <v>20.5</v>
      </c>
      <c r="DH468">
        <v>0</v>
      </c>
      <c r="DI468">
        <v>25</v>
      </c>
      <c r="DJ468" s="26" t="s">
        <v>1358</v>
      </c>
      <c r="DK468" t="s">
        <v>736</v>
      </c>
      <c r="DL468">
        <v>15.8</v>
      </c>
      <c r="DM468">
        <v>0</v>
      </c>
      <c r="DN468">
        <v>25</v>
      </c>
      <c r="DO468" s="26" t="s">
        <v>1358</v>
      </c>
      <c r="DP468" t="s">
        <v>1</v>
      </c>
      <c r="DQ468" t="s">
        <v>1</v>
      </c>
      <c r="DR468" t="s">
        <v>1</v>
      </c>
      <c r="DS468" t="s">
        <v>1</v>
      </c>
      <c r="DT468" t="s">
        <v>1</v>
      </c>
      <c r="DU468" t="s">
        <v>1</v>
      </c>
      <c r="EA468" t="s">
        <v>982</v>
      </c>
      <c r="EB468">
        <v>7</v>
      </c>
      <c r="EC468">
        <v>0</v>
      </c>
      <c r="ED468">
        <v>25</v>
      </c>
      <c r="EE468" s="26" t="s">
        <v>1358</v>
      </c>
      <c r="EF468" s="26"/>
      <c r="FZ468" t="s">
        <v>806</v>
      </c>
      <c r="GA468">
        <v>867.32500000000005</v>
      </c>
      <c r="GE468" s="26" t="s">
        <v>1358</v>
      </c>
      <c r="HA468" s="5" t="s">
        <v>1</v>
      </c>
      <c r="HB468" s="4" t="s">
        <v>1</v>
      </c>
      <c r="HC468" t="s">
        <v>1</v>
      </c>
      <c r="HD468" t="s">
        <v>1</v>
      </c>
      <c r="HE468" t="s">
        <v>1</v>
      </c>
      <c r="HF468" s="5" t="s">
        <v>1063</v>
      </c>
      <c r="HG468" s="4">
        <v>1.1100000000000003</v>
      </c>
      <c r="HH468">
        <v>0</v>
      </c>
      <c r="HI468">
        <v>25</v>
      </c>
      <c r="HJ468" s="26" t="s">
        <v>1358</v>
      </c>
      <c r="HK468" t="s">
        <v>815</v>
      </c>
      <c r="HL468">
        <v>1.26</v>
      </c>
      <c r="HM468">
        <v>0</v>
      </c>
      <c r="HN468">
        <v>25</v>
      </c>
      <c r="HO468" t="s">
        <v>1</v>
      </c>
      <c r="HP468" s="26" t="s">
        <v>1358</v>
      </c>
      <c r="HZ468" t="s">
        <v>1</v>
      </c>
      <c r="IA468" t="s">
        <v>1</v>
      </c>
      <c r="IB468" s="10" t="s">
        <v>1</v>
      </c>
      <c r="IC468" s="10"/>
      <c r="ID468" s="10"/>
      <c r="IE468" s="10" t="s">
        <v>1</v>
      </c>
      <c r="IF468" s="10" t="s">
        <v>1</v>
      </c>
      <c r="IG468" s="10"/>
      <c r="IH468" s="10"/>
      <c r="II468" s="10"/>
      <c r="IJ468" s="10"/>
      <c r="IK468" s="10"/>
      <c r="IL468" s="10"/>
      <c r="IM468" s="10"/>
      <c r="IN468" s="10"/>
      <c r="IO468" s="10"/>
      <c r="IP468" s="10"/>
      <c r="IQ468" s="10"/>
      <c r="IR468" s="10"/>
      <c r="IS468" t="s">
        <v>1</v>
      </c>
      <c r="IT468" t="s">
        <v>1</v>
      </c>
      <c r="IW468" t="s">
        <v>979</v>
      </c>
      <c r="IX468">
        <v>832</v>
      </c>
      <c r="IY468" t="s">
        <v>808</v>
      </c>
      <c r="IZ468">
        <v>1675</v>
      </c>
      <c r="JA468" t="s">
        <v>1</v>
      </c>
      <c r="JB468" s="3" t="s">
        <v>1</v>
      </c>
      <c r="JC468" t="s">
        <v>1</v>
      </c>
      <c r="JD468" s="4" t="s">
        <v>1</v>
      </c>
      <c r="JE468" t="s">
        <v>1</v>
      </c>
      <c r="JF468" t="s">
        <v>1</v>
      </c>
      <c r="JR468" t="s">
        <v>1066</v>
      </c>
      <c r="JS468">
        <v>709.7</v>
      </c>
      <c r="JU468" t="s">
        <v>1</v>
      </c>
      <c r="JW468" t="s">
        <v>1</v>
      </c>
      <c r="JX468">
        <v>0</v>
      </c>
      <c r="JY468">
        <v>90</v>
      </c>
      <c r="JZ468" t="s">
        <v>796</v>
      </c>
      <c r="KA468" t="s">
        <v>198</v>
      </c>
      <c r="KB468" t="s">
        <v>738</v>
      </c>
      <c r="KC468" t="s">
        <v>1</v>
      </c>
      <c r="KD468" t="s">
        <v>1</v>
      </c>
      <c r="KE468" t="s">
        <v>1</v>
      </c>
      <c r="KF468" t="s">
        <v>1</v>
      </c>
      <c r="KG468" t="s">
        <v>1</v>
      </c>
      <c r="KH468" t="s">
        <v>1</v>
      </c>
      <c r="KI468" t="s">
        <v>1</v>
      </c>
      <c r="KJ468" t="s">
        <v>1</v>
      </c>
      <c r="KK468" t="s">
        <v>1</v>
      </c>
    </row>
    <row r="469" spans="1:297" x14ac:dyDescent="0.2">
      <c r="A469">
        <v>437</v>
      </c>
      <c r="B469" t="s">
        <v>705</v>
      </c>
      <c r="C469" t="s">
        <v>537</v>
      </c>
      <c r="D469" t="s">
        <v>522</v>
      </c>
      <c r="E469">
        <v>75</v>
      </c>
      <c r="F469" t="s">
        <v>523</v>
      </c>
      <c r="G469" t="s">
        <v>1</v>
      </c>
      <c r="H469" s="26" t="s">
        <v>1420</v>
      </c>
      <c r="I469" t="s">
        <v>1</v>
      </c>
      <c r="J469" t="s">
        <v>1</v>
      </c>
      <c r="K469" t="s">
        <v>1</v>
      </c>
      <c r="L469" t="s">
        <v>1</v>
      </c>
      <c r="M469" t="s">
        <v>1</v>
      </c>
      <c r="N469" t="s">
        <v>1</v>
      </c>
      <c r="O469" t="s">
        <v>1</v>
      </c>
      <c r="P469" t="s">
        <v>1</v>
      </c>
      <c r="Q469" t="s">
        <v>1</v>
      </c>
      <c r="R469" t="s">
        <v>1</v>
      </c>
      <c r="S469" t="s">
        <v>1</v>
      </c>
      <c r="T469" t="s">
        <v>1</v>
      </c>
      <c r="U469" t="s">
        <v>1</v>
      </c>
      <c r="V469" t="s">
        <v>1</v>
      </c>
      <c r="W469" t="s">
        <v>1</v>
      </c>
      <c r="X469" t="s">
        <v>1</v>
      </c>
      <c r="Y469" t="s">
        <v>1</v>
      </c>
      <c r="Z469" t="s">
        <v>1</v>
      </c>
      <c r="AA469" t="s">
        <v>1</v>
      </c>
      <c r="AB469" t="s">
        <v>1</v>
      </c>
      <c r="AC469" t="s">
        <v>1</v>
      </c>
      <c r="AD469" t="s">
        <v>1</v>
      </c>
      <c r="AE469" t="s">
        <v>1</v>
      </c>
      <c r="AF469" t="s">
        <v>1</v>
      </c>
      <c r="AG469" t="s">
        <v>1</v>
      </c>
      <c r="AH469" t="s">
        <v>1</v>
      </c>
      <c r="AI469" t="s">
        <v>1</v>
      </c>
      <c r="AJ469" t="s">
        <v>1</v>
      </c>
      <c r="AK469" t="s">
        <v>1</v>
      </c>
      <c r="AL469" t="s">
        <v>1</v>
      </c>
      <c r="AM469" t="s">
        <v>1</v>
      </c>
      <c r="AN469">
        <v>437</v>
      </c>
      <c r="AO469">
        <f t="shared" si="59"/>
        <v>437</v>
      </c>
      <c r="AP469">
        <f t="shared" si="62"/>
        <v>75</v>
      </c>
      <c r="AQ469">
        <f t="shared" si="61"/>
        <v>75</v>
      </c>
      <c r="AR469" s="26" t="s">
        <v>1355</v>
      </c>
      <c r="AS469" s="26" t="s">
        <v>1356</v>
      </c>
      <c r="AT469" t="s">
        <v>726</v>
      </c>
      <c r="AU469" t="s">
        <v>1</v>
      </c>
      <c r="AV469" t="s">
        <v>1</v>
      </c>
      <c r="AW469">
        <v>44.79</v>
      </c>
      <c r="AX469">
        <v>11.02</v>
      </c>
      <c r="AY469" t="s">
        <v>737</v>
      </c>
      <c r="BA469" s="3">
        <v>3</v>
      </c>
      <c r="BB469" s="3"/>
      <c r="BC469" s="3"/>
      <c r="BD469" s="3"/>
      <c r="BE469" s="3"/>
      <c r="BF469">
        <v>1979</v>
      </c>
      <c r="BG469" s="24" t="s">
        <v>733</v>
      </c>
      <c r="BH469" s="24" t="s">
        <v>733</v>
      </c>
      <c r="BI469" s="24" t="s">
        <v>733</v>
      </c>
      <c r="BJ469" s="24" t="s">
        <v>732</v>
      </c>
      <c r="BK469" s="24" t="s">
        <v>733</v>
      </c>
      <c r="BL469" s="25" t="s">
        <v>733</v>
      </c>
      <c r="BM469" s="24" t="s">
        <v>733</v>
      </c>
      <c r="BN469" s="24" t="s">
        <v>732</v>
      </c>
      <c r="BO469" s="24" t="s">
        <v>733</v>
      </c>
      <c r="BP469" s="24" t="s">
        <v>733</v>
      </c>
      <c r="BQ469" s="24" t="s">
        <v>945</v>
      </c>
      <c r="BR469" s="24" t="s">
        <v>945</v>
      </c>
      <c r="BS469" s="25" t="s">
        <v>934</v>
      </c>
      <c r="BT469" s="24" t="s">
        <v>934</v>
      </c>
      <c r="BU469" s="24" t="s">
        <v>934</v>
      </c>
      <c r="BV469" s="24" t="s">
        <v>934</v>
      </c>
      <c r="BW469" s="24" t="s">
        <v>934</v>
      </c>
      <c r="BX469" s="24" t="s">
        <v>934</v>
      </c>
      <c r="BY469" s="25" t="s">
        <v>945</v>
      </c>
      <c r="BZ469" t="s">
        <v>788</v>
      </c>
      <c r="CB469" t="s">
        <v>525</v>
      </c>
      <c r="CC469" s="4" t="s">
        <v>1</v>
      </c>
      <c r="CD469" s="4"/>
      <c r="CE469" s="4"/>
      <c r="CF469" t="s">
        <v>1</v>
      </c>
      <c r="CG469" t="s">
        <v>1</v>
      </c>
      <c r="CH469" t="s">
        <v>805</v>
      </c>
      <c r="CI469" s="28">
        <v>0.9</v>
      </c>
      <c r="CJ469" s="9" t="s">
        <v>1</v>
      </c>
      <c r="CK469" s="9" t="s">
        <v>1</v>
      </c>
      <c r="CL469" s="4" t="s">
        <v>1</v>
      </c>
      <c r="CM469" t="s">
        <v>847</v>
      </c>
      <c r="CN469" s="4">
        <v>113.07</v>
      </c>
      <c r="CO469" s="4" t="s">
        <v>1</v>
      </c>
      <c r="CP469" s="4" t="s">
        <v>1</v>
      </c>
      <c r="CQ469" s="4" t="s">
        <v>1</v>
      </c>
      <c r="CR469" s="4" t="s">
        <v>1</v>
      </c>
      <c r="CS469" s="4" t="s">
        <v>1</v>
      </c>
      <c r="CT469" s="4" t="s">
        <v>1</v>
      </c>
      <c r="CU469" s="4" t="s">
        <v>1</v>
      </c>
      <c r="CV469" t="s">
        <v>857</v>
      </c>
      <c r="CW469">
        <v>100</v>
      </c>
      <c r="CX469">
        <v>0</v>
      </c>
      <c r="CY469">
        <v>25</v>
      </c>
      <c r="CZ469" s="26" t="s">
        <v>1358</v>
      </c>
      <c r="DA469" t="s">
        <v>734</v>
      </c>
      <c r="DB469">
        <v>10.9</v>
      </c>
      <c r="DC469">
        <v>0</v>
      </c>
      <c r="DD469">
        <v>25</v>
      </c>
      <c r="DE469" s="26" t="s">
        <v>1358</v>
      </c>
      <c r="DF469" t="s">
        <v>735</v>
      </c>
      <c r="DG469">
        <v>47.5</v>
      </c>
      <c r="DH469">
        <v>0</v>
      </c>
      <c r="DI469">
        <v>25</v>
      </c>
      <c r="DJ469" s="26" t="s">
        <v>1358</v>
      </c>
      <c r="DK469" t="s">
        <v>736</v>
      </c>
      <c r="DL469">
        <v>41.6</v>
      </c>
      <c r="DM469">
        <v>0</v>
      </c>
      <c r="DN469">
        <v>25</v>
      </c>
      <c r="DO469" s="26" t="s">
        <v>1358</v>
      </c>
      <c r="DP469" t="s">
        <v>1</v>
      </c>
      <c r="DQ469" t="s">
        <v>1</v>
      </c>
      <c r="DR469" t="s">
        <v>1</v>
      </c>
      <c r="DS469" t="s">
        <v>1</v>
      </c>
      <c r="DT469" t="s">
        <v>1</v>
      </c>
      <c r="DU469" t="s">
        <v>1</v>
      </c>
      <c r="EA469" t="s">
        <v>982</v>
      </c>
      <c r="EB469">
        <v>9.6999999999999993</v>
      </c>
      <c r="EC469">
        <v>0</v>
      </c>
      <c r="ED469">
        <v>25</v>
      </c>
      <c r="EE469" s="26" t="s">
        <v>1358</v>
      </c>
      <c r="EF469" s="26"/>
      <c r="FZ469" t="s">
        <v>806</v>
      </c>
      <c r="GA469">
        <v>867.32500000000005</v>
      </c>
      <c r="GE469" s="26" t="s">
        <v>1358</v>
      </c>
      <c r="HA469" s="5" t="s">
        <v>1</v>
      </c>
      <c r="HB469" s="4" t="s">
        <v>1</v>
      </c>
      <c r="HC469" t="s">
        <v>1</v>
      </c>
      <c r="HD469" t="s">
        <v>1</v>
      </c>
      <c r="HE469" t="s">
        <v>1</v>
      </c>
      <c r="HF469" s="5" t="s">
        <v>1063</v>
      </c>
      <c r="HG469" s="4">
        <v>1.44</v>
      </c>
      <c r="HH469">
        <v>0</v>
      </c>
      <c r="HI469">
        <v>25</v>
      </c>
      <c r="HJ469" s="26" t="s">
        <v>1358</v>
      </c>
      <c r="HK469" t="s">
        <v>815</v>
      </c>
      <c r="HL469">
        <v>1.25</v>
      </c>
      <c r="HM469">
        <v>0</v>
      </c>
      <c r="HN469">
        <v>25</v>
      </c>
      <c r="HO469" t="s">
        <v>1</v>
      </c>
      <c r="HP469" s="26" t="s">
        <v>1358</v>
      </c>
      <c r="HZ469" t="s">
        <v>1</v>
      </c>
      <c r="IA469" t="s">
        <v>1</v>
      </c>
      <c r="IB469" s="10" t="s">
        <v>1</v>
      </c>
      <c r="IC469" s="10"/>
      <c r="ID469" s="10"/>
      <c r="IE469" s="10" t="s">
        <v>1</v>
      </c>
      <c r="IF469" s="10" t="s">
        <v>1</v>
      </c>
      <c r="IG469" s="10"/>
      <c r="IH469" s="10"/>
      <c r="II469" s="10"/>
      <c r="IJ469" s="10"/>
      <c r="IK469" s="10"/>
      <c r="IL469" s="10"/>
      <c r="IM469" s="10"/>
      <c r="IN469" s="10"/>
      <c r="IO469" s="10"/>
      <c r="IP469" s="10"/>
      <c r="IQ469" s="10"/>
      <c r="IR469" s="10"/>
      <c r="IS469" t="s">
        <v>1</v>
      </c>
      <c r="IT469" t="s">
        <v>1</v>
      </c>
      <c r="IW469" t="s">
        <v>1</v>
      </c>
      <c r="IX469" t="s">
        <v>1</v>
      </c>
      <c r="IY469" t="s">
        <v>808</v>
      </c>
      <c r="IZ469">
        <v>1675</v>
      </c>
      <c r="JA469" t="s">
        <v>1</v>
      </c>
      <c r="JB469" s="3" t="s">
        <v>1</v>
      </c>
      <c r="JC469" t="s">
        <v>1</v>
      </c>
      <c r="JD469" s="4" t="s">
        <v>1</v>
      </c>
      <c r="JE469" t="s">
        <v>1</v>
      </c>
      <c r="JF469" t="s">
        <v>1</v>
      </c>
      <c r="JR469" t="s">
        <v>1066</v>
      </c>
      <c r="JS469">
        <v>121.5</v>
      </c>
      <c r="JU469" t="s">
        <v>1</v>
      </c>
      <c r="JW469" t="s">
        <v>1</v>
      </c>
      <c r="JX469">
        <v>0</v>
      </c>
      <c r="JY469">
        <v>90</v>
      </c>
      <c r="JZ469" t="s">
        <v>796</v>
      </c>
      <c r="KA469" t="s">
        <v>198</v>
      </c>
      <c r="KB469" t="s">
        <v>738</v>
      </c>
      <c r="KC469" t="s">
        <v>1</v>
      </c>
      <c r="KD469" t="s">
        <v>1</v>
      </c>
      <c r="KE469" t="s">
        <v>1</v>
      </c>
      <c r="KF469" t="s">
        <v>1</v>
      </c>
      <c r="KG469" t="s">
        <v>1</v>
      </c>
      <c r="KH469" t="s">
        <v>1</v>
      </c>
      <c r="KI469" t="s">
        <v>1</v>
      </c>
      <c r="KJ469" t="s">
        <v>1</v>
      </c>
      <c r="KK469" t="s">
        <v>1</v>
      </c>
    </row>
    <row r="470" spans="1:297" x14ac:dyDescent="0.2">
      <c r="A470">
        <v>438</v>
      </c>
      <c r="B470" t="s">
        <v>705</v>
      </c>
      <c r="C470" t="s">
        <v>538</v>
      </c>
      <c r="D470" t="s">
        <v>522</v>
      </c>
      <c r="E470">
        <v>75</v>
      </c>
      <c r="F470" t="s">
        <v>523</v>
      </c>
      <c r="G470" t="s">
        <v>1</v>
      </c>
      <c r="H470" s="26" t="s">
        <v>1420</v>
      </c>
      <c r="I470" t="s">
        <v>1</v>
      </c>
      <c r="J470" t="s">
        <v>1</v>
      </c>
      <c r="K470" t="s">
        <v>1</v>
      </c>
      <c r="L470" t="s">
        <v>1</v>
      </c>
      <c r="M470" t="s">
        <v>1</v>
      </c>
      <c r="N470" t="s">
        <v>1</v>
      </c>
      <c r="O470" t="s">
        <v>1</v>
      </c>
      <c r="P470" t="s">
        <v>1</v>
      </c>
      <c r="Q470" t="s">
        <v>1</v>
      </c>
      <c r="R470" t="s">
        <v>1</v>
      </c>
      <c r="S470" t="s">
        <v>1</v>
      </c>
      <c r="T470" t="s">
        <v>1</v>
      </c>
      <c r="U470" t="s">
        <v>1</v>
      </c>
      <c r="V470" t="s">
        <v>1</v>
      </c>
      <c r="W470" t="s">
        <v>1</v>
      </c>
      <c r="X470" t="s">
        <v>1</v>
      </c>
      <c r="Y470" t="s">
        <v>1</v>
      </c>
      <c r="Z470" t="s">
        <v>1</v>
      </c>
      <c r="AA470" t="s">
        <v>1</v>
      </c>
      <c r="AB470" t="s">
        <v>1</v>
      </c>
      <c r="AC470" t="s">
        <v>1</v>
      </c>
      <c r="AD470" t="s">
        <v>1</v>
      </c>
      <c r="AE470" t="s">
        <v>1</v>
      </c>
      <c r="AF470" t="s">
        <v>1</v>
      </c>
      <c r="AG470" t="s">
        <v>1</v>
      </c>
      <c r="AH470" t="s">
        <v>1</v>
      </c>
      <c r="AI470" t="s">
        <v>1</v>
      </c>
      <c r="AJ470" t="s">
        <v>1</v>
      </c>
      <c r="AK470" t="s">
        <v>1</v>
      </c>
      <c r="AL470" t="s">
        <v>1</v>
      </c>
      <c r="AM470" t="s">
        <v>1</v>
      </c>
      <c r="AN470">
        <v>438</v>
      </c>
      <c r="AO470">
        <f t="shared" si="59"/>
        <v>438</v>
      </c>
      <c r="AP470">
        <f t="shared" si="62"/>
        <v>75</v>
      </c>
      <c r="AQ470">
        <f t="shared" si="61"/>
        <v>75</v>
      </c>
      <c r="AR470" s="26" t="s">
        <v>1355</v>
      </c>
      <c r="AS470" s="26" t="s">
        <v>1356</v>
      </c>
      <c r="AT470" t="s">
        <v>726</v>
      </c>
      <c r="AU470" t="s">
        <v>1</v>
      </c>
      <c r="AV470" t="s">
        <v>1</v>
      </c>
      <c r="AW470">
        <v>44.79</v>
      </c>
      <c r="AX470">
        <v>11.02</v>
      </c>
      <c r="AY470" t="s">
        <v>737</v>
      </c>
      <c r="BA470" s="3">
        <v>3</v>
      </c>
      <c r="BB470" s="3"/>
      <c r="BC470" s="3"/>
      <c r="BD470" s="3"/>
      <c r="BE470" s="3"/>
      <c r="BF470">
        <v>1979</v>
      </c>
      <c r="BG470" s="24" t="s">
        <v>733</v>
      </c>
      <c r="BH470" s="24" t="s">
        <v>733</v>
      </c>
      <c r="BI470" s="24" t="s">
        <v>733</v>
      </c>
      <c r="BJ470" s="24" t="s">
        <v>732</v>
      </c>
      <c r="BK470" s="24" t="s">
        <v>733</v>
      </c>
      <c r="BL470" s="25" t="s">
        <v>733</v>
      </c>
      <c r="BM470" s="24" t="s">
        <v>733</v>
      </c>
      <c r="BN470" s="24" t="s">
        <v>732</v>
      </c>
      <c r="BO470" s="24" t="s">
        <v>733</v>
      </c>
      <c r="BP470" s="24" t="s">
        <v>733</v>
      </c>
      <c r="BQ470" s="24" t="s">
        <v>945</v>
      </c>
      <c r="BR470" s="24" t="s">
        <v>945</v>
      </c>
      <c r="BS470" s="25" t="s">
        <v>934</v>
      </c>
      <c r="BT470" s="24" t="s">
        <v>934</v>
      </c>
      <c r="BU470" s="24" t="s">
        <v>934</v>
      </c>
      <c r="BV470" s="24" t="s">
        <v>934</v>
      </c>
      <c r="BW470" s="24" t="s">
        <v>934</v>
      </c>
      <c r="BX470" s="24" t="s">
        <v>934</v>
      </c>
      <c r="BY470" s="25" t="s">
        <v>945</v>
      </c>
      <c r="BZ470" t="s">
        <v>788</v>
      </c>
      <c r="CB470" t="s">
        <v>525</v>
      </c>
      <c r="CC470" s="4" t="s">
        <v>1</v>
      </c>
      <c r="CD470" s="4"/>
      <c r="CE470" s="4"/>
      <c r="CF470" t="s">
        <v>1</v>
      </c>
      <c r="CG470" t="s">
        <v>1</v>
      </c>
      <c r="CH470" t="s">
        <v>805</v>
      </c>
      <c r="CI470" s="28">
        <v>0.9</v>
      </c>
      <c r="CJ470" s="9" t="s">
        <v>1</v>
      </c>
      <c r="CK470" s="9" t="s">
        <v>1</v>
      </c>
      <c r="CL470" s="4" t="s">
        <v>1</v>
      </c>
      <c r="CM470" t="s">
        <v>847</v>
      </c>
      <c r="CN470" s="4">
        <v>244.7</v>
      </c>
      <c r="CO470" s="4" t="s">
        <v>1</v>
      </c>
      <c r="CP470" s="4" t="s">
        <v>1</v>
      </c>
      <c r="CQ470" s="4" t="s">
        <v>1</v>
      </c>
      <c r="CR470" s="4" t="s">
        <v>1</v>
      </c>
      <c r="CS470" s="4" t="s">
        <v>1</v>
      </c>
      <c r="CT470" s="4" t="s">
        <v>1</v>
      </c>
      <c r="CU470" s="4" t="s">
        <v>1</v>
      </c>
      <c r="CV470" t="s">
        <v>857</v>
      </c>
      <c r="CW470">
        <v>100</v>
      </c>
      <c r="CX470">
        <v>0</v>
      </c>
      <c r="CY470">
        <v>25</v>
      </c>
      <c r="CZ470" s="26" t="s">
        <v>1358</v>
      </c>
      <c r="DA470" t="s">
        <v>734</v>
      </c>
      <c r="DB470">
        <v>10.9</v>
      </c>
      <c r="DC470">
        <v>0</v>
      </c>
      <c r="DD470">
        <v>25</v>
      </c>
      <c r="DE470" s="26" t="s">
        <v>1358</v>
      </c>
      <c r="DF470" t="s">
        <v>735</v>
      </c>
      <c r="DG470">
        <v>47.5</v>
      </c>
      <c r="DH470">
        <v>0</v>
      </c>
      <c r="DI470">
        <v>25</v>
      </c>
      <c r="DJ470" s="26" t="s">
        <v>1358</v>
      </c>
      <c r="DK470" t="s">
        <v>736</v>
      </c>
      <c r="DL470">
        <v>41.6</v>
      </c>
      <c r="DM470">
        <v>0</v>
      </c>
      <c r="DN470">
        <v>25</v>
      </c>
      <c r="DO470" s="26" t="s">
        <v>1358</v>
      </c>
      <c r="DP470" t="s">
        <v>1</v>
      </c>
      <c r="DQ470" t="s">
        <v>1</v>
      </c>
      <c r="DR470" t="s">
        <v>1</v>
      </c>
      <c r="DS470" t="s">
        <v>1</v>
      </c>
      <c r="DT470" t="s">
        <v>1</v>
      </c>
      <c r="DU470" t="s">
        <v>1</v>
      </c>
      <c r="EA470" t="s">
        <v>982</v>
      </c>
      <c r="EB470">
        <v>9.6999999999999993</v>
      </c>
      <c r="EC470">
        <v>0</v>
      </c>
      <c r="ED470">
        <v>25</v>
      </c>
      <c r="EE470" s="26" t="s">
        <v>1358</v>
      </c>
      <c r="EF470" s="26"/>
      <c r="FZ470" t="s">
        <v>806</v>
      </c>
      <c r="GA470">
        <v>867.32500000000005</v>
      </c>
      <c r="GE470" s="26" t="s">
        <v>1358</v>
      </c>
      <c r="HA470" s="5" t="s">
        <v>1</v>
      </c>
      <c r="HB470" s="4" t="s">
        <v>1</v>
      </c>
      <c r="HC470" t="s">
        <v>1</v>
      </c>
      <c r="HD470" t="s">
        <v>1</v>
      </c>
      <c r="HE470" t="s">
        <v>1</v>
      </c>
      <c r="HF470" s="5" t="s">
        <v>1063</v>
      </c>
      <c r="HG470" s="4">
        <v>1.44</v>
      </c>
      <c r="HH470">
        <v>0</v>
      </c>
      <c r="HI470">
        <v>25</v>
      </c>
      <c r="HJ470" s="26" t="s">
        <v>1358</v>
      </c>
      <c r="HK470" t="s">
        <v>815</v>
      </c>
      <c r="HL470">
        <v>1.25</v>
      </c>
      <c r="HM470">
        <v>0</v>
      </c>
      <c r="HN470">
        <v>25</v>
      </c>
      <c r="HO470" t="s">
        <v>1</v>
      </c>
      <c r="HP470" s="26" t="s">
        <v>1358</v>
      </c>
      <c r="HZ470" t="s">
        <v>1</v>
      </c>
      <c r="IA470" t="s">
        <v>1</v>
      </c>
      <c r="IB470" s="10" t="s">
        <v>1</v>
      </c>
      <c r="IC470" s="10"/>
      <c r="ID470" s="10"/>
      <c r="IE470" s="10" t="s">
        <v>1</v>
      </c>
      <c r="IF470" s="10" t="s">
        <v>1</v>
      </c>
      <c r="IG470" s="10"/>
      <c r="IH470" s="10"/>
      <c r="II470" s="10"/>
      <c r="IJ470" s="10"/>
      <c r="IK470" s="10"/>
      <c r="IL470" s="10"/>
      <c r="IM470" s="10"/>
      <c r="IN470" s="10"/>
      <c r="IO470" s="10"/>
      <c r="IP470" s="10"/>
      <c r="IQ470" s="10"/>
      <c r="IR470" s="10"/>
      <c r="IS470" t="s">
        <v>1</v>
      </c>
      <c r="IT470" t="s">
        <v>1</v>
      </c>
      <c r="IW470" t="s">
        <v>979</v>
      </c>
      <c r="IX470">
        <v>277</v>
      </c>
      <c r="IY470" t="s">
        <v>808</v>
      </c>
      <c r="IZ470">
        <v>1675</v>
      </c>
      <c r="JA470" t="s">
        <v>1</v>
      </c>
      <c r="JB470" s="3" t="s">
        <v>1</v>
      </c>
      <c r="JC470" t="s">
        <v>1</v>
      </c>
      <c r="JD470" s="4" t="s">
        <v>1</v>
      </c>
      <c r="JE470" t="s">
        <v>1</v>
      </c>
      <c r="JF470" t="s">
        <v>1</v>
      </c>
      <c r="JR470" t="s">
        <v>1066</v>
      </c>
      <c r="JS470">
        <v>161.4</v>
      </c>
      <c r="JU470" t="s">
        <v>1</v>
      </c>
      <c r="JW470" t="s">
        <v>1</v>
      </c>
      <c r="JX470">
        <v>0</v>
      </c>
      <c r="JY470">
        <v>90</v>
      </c>
      <c r="JZ470" t="s">
        <v>796</v>
      </c>
      <c r="KA470" t="s">
        <v>198</v>
      </c>
      <c r="KB470" t="s">
        <v>738</v>
      </c>
      <c r="KC470" t="s">
        <v>1</v>
      </c>
      <c r="KD470" t="s">
        <v>1</v>
      </c>
      <c r="KE470" t="s">
        <v>1</v>
      </c>
      <c r="KF470" t="s">
        <v>1</v>
      </c>
      <c r="KG470" t="s">
        <v>1</v>
      </c>
      <c r="KH470" t="s">
        <v>1</v>
      </c>
      <c r="KI470" t="s">
        <v>1</v>
      </c>
      <c r="KJ470" t="s">
        <v>1</v>
      </c>
      <c r="KK470" t="s">
        <v>1</v>
      </c>
    </row>
    <row r="471" spans="1:297" x14ac:dyDescent="0.2">
      <c r="A471">
        <v>439</v>
      </c>
      <c r="B471" t="s">
        <v>705</v>
      </c>
      <c r="C471" t="s">
        <v>539</v>
      </c>
      <c r="D471" t="s">
        <v>522</v>
      </c>
      <c r="E471">
        <v>75</v>
      </c>
      <c r="F471" t="s">
        <v>523</v>
      </c>
      <c r="G471" t="s">
        <v>1</v>
      </c>
      <c r="H471" s="26" t="s">
        <v>1420</v>
      </c>
      <c r="I471" t="s">
        <v>1</v>
      </c>
      <c r="J471" t="s">
        <v>1</v>
      </c>
      <c r="K471" t="s">
        <v>1</v>
      </c>
      <c r="L471" t="s">
        <v>1</v>
      </c>
      <c r="M471" t="s">
        <v>1</v>
      </c>
      <c r="N471" t="s">
        <v>1</v>
      </c>
      <c r="O471" t="s">
        <v>1</v>
      </c>
      <c r="P471" t="s">
        <v>1</v>
      </c>
      <c r="Q471" t="s">
        <v>1</v>
      </c>
      <c r="R471" t="s">
        <v>1</v>
      </c>
      <c r="S471" t="s">
        <v>1</v>
      </c>
      <c r="T471" t="s">
        <v>1</v>
      </c>
      <c r="U471" t="s">
        <v>1</v>
      </c>
      <c r="V471" t="s">
        <v>1</v>
      </c>
      <c r="W471" t="s">
        <v>1</v>
      </c>
      <c r="X471" t="s">
        <v>1</v>
      </c>
      <c r="Y471" t="s">
        <v>1</v>
      </c>
      <c r="Z471" t="s">
        <v>1</v>
      </c>
      <c r="AA471" t="s">
        <v>1</v>
      </c>
      <c r="AB471" t="s">
        <v>1</v>
      </c>
      <c r="AC471" t="s">
        <v>1</v>
      </c>
      <c r="AD471" t="s">
        <v>1</v>
      </c>
      <c r="AE471" t="s">
        <v>1</v>
      </c>
      <c r="AF471" t="s">
        <v>1</v>
      </c>
      <c r="AG471" t="s">
        <v>1</v>
      </c>
      <c r="AH471" t="s">
        <v>1</v>
      </c>
      <c r="AI471" t="s">
        <v>1</v>
      </c>
      <c r="AJ471" t="s">
        <v>1</v>
      </c>
      <c r="AK471" t="s">
        <v>1</v>
      </c>
      <c r="AL471" t="s">
        <v>1</v>
      </c>
      <c r="AM471" t="s">
        <v>1</v>
      </c>
      <c r="AN471">
        <v>439</v>
      </c>
      <c r="AO471">
        <f t="shared" si="59"/>
        <v>439</v>
      </c>
      <c r="AP471">
        <f t="shared" si="62"/>
        <v>75</v>
      </c>
      <c r="AQ471">
        <f t="shared" si="61"/>
        <v>75</v>
      </c>
      <c r="AR471" s="26" t="s">
        <v>1355</v>
      </c>
      <c r="AS471" s="26" t="s">
        <v>1356</v>
      </c>
      <c r="AT471" t="s">
        <v>726</v>
      </c>
      <c r="AU471" t="s">
        <v>1</v>
      </c>
      <c r="AV471" t="s">
        <v>1</v>
      </c>
      <c r="AW471">
        <v>44.79</v>
      </c>
      <c r="AX471">
        <v>11.02</v>
      </c>
      <c r="AY471" t="s">
        <v>737</v>
      </c>
      <c r="BA471" s="3">
        <v>3</v>
      </c>
      <c r="BB471" s="3"/>
      <c r="BC471" s="3"/>
      <c r="BD471" s="3"/>
      <c r="BE471" s="3"/>
      <c r="BF471">
        <v>1979</v>
      </c>
      <c r="BG471" s="24" t="s">
        <v>733</v>
      </c>
      <c r="BH471" s="24" t="s">
        <v>733</v>
      </c>
      <c r="BI471" s="24" t="s">
        <v>733</v>
      </c>
      <c r="BJ471" s="24" t="s">
        <v>732</v>
      </c>
      <c r="BK471" s="24" t="s">
        <v>733</v>
      </c>
      <c r="BL471" s="25" t="s">
        <v>733</v>
      </c>
      <c r="BM471" s="24" t="s">
        <v>733</v>
      </c>
      <c r="BN471" s="24" t="s">
        <v>732</v>
      </c>
      <c r="BO471" s="24" t="s">
        <v>733</v>
      </c>
      <c r="BP471" s="24" t="s">
        <v>733</v>
      </c>
      <c r="BQ471" s="24" t="s">
        <v>945</v>
      </c>
      <c r="BR471" s="24" t="s">
        <v>945</v>
      </c>
      <c r="BS471" s="25" t="s">
        <v>934</v>
      </c>
      <c r="BT471" s="24" t="s">
        <v>934</v>
      </c>
      <c r="BU471" s="24" t="s">
        <v>934</v>
      </c>
      <c r="BV471" s="24" t="s">
        <v>934</v>
      </c>
      <c r="BW471" s="24" t="s">
        <v>934</v>
      </c>
      <c r="BX471" s="24" t="s">
        <v>934</v>
      </c>
      <c r="BY471" s="25" t="s">
        <v>945</v>
      </c>
      <c r="BZ471" t="s">
        <v>788</v>
      </c>
      <c r="CB471" t="s">
        <v>525</v>
      </c>
      <c r="CC471" s="4" t="s">
        <v>1</v>
      </c>
      <c r="CD471" s="4"/>
      <c r="CE471" s="4"/>
      <c r="CF471" t="s">
        <v>1</v>
      </c>
      <c r="CG471" t="s">
        <v>1</v>
      </c>
      <c r="CH471" t="s">
        <v>805</v>
      </c>
      <c r="CI471" s="28">
        <v>0.9</v>
      </c>
      <c r="CJ471" s="9" t="s">
        <v>1</v>
      </c>
      <c r="CK471" s="9" t="s">
        <v>1</v>
      </c>
      <c r="CL471" s="4" t="s">
        <v>1</v>
      </c>
      <c r="CM471" t="s">
        <v>847</v>
      </c>
      <c r="CN471" s="4">
        <v>330.27</v>
      </c>
      <c r="CO471" s="4" t="s">
        <v>1</v>
      </c>
      <c r="CP471" s="4" t="s">
        <v>1</v>
      </c>
      <c r="CQ471" s="4" t="s">
        <v>1</v>
      </c>
      <c r="CR471" s="4" t="s">
        <v>1</v>
      </c>
      <c r="CS471" s="4" t="s">
        <v>1</v>
      </c>
      <c r="CT471" s="4" t="s">
        <v>1</v>
      </c>
      <c r="CU471" s="4" t="s">
        <v>1</v>
      </c>
      <c r="CV471" t="s">
        <v>857</v>
      </c>
      <c r="CW471">
        <v>100</v>
      </c>
      <c r="CX471">
        <v>0</v>
      </c>
      <c r="CY471">
        <v>25</v>
      </c>
      <c r="CZ471" s="26" t="s">
        <v>1358</v>
      </c>
      <c r="DA471" t="s">
        <v>734</v>
      </c>
      <c r="DB471">
        <v>10.9</v>
      </c>
      <c r="DC471">
        <v>0</v>
      </c>
      <c r="DD471">
        <v>25</v>
      </c>
      <c r="DE471" s="26" t="s">
        <v>1358</v>
      </c>
      <c r="DF471" t="s">
        <v>735</v>
      </c>
      <c r="DG471">
        <v>47.5</v>
      </c>
      <c r="DH471">
        <v>0</v>
      </c>
      <c r="DI471">
        <v>25</v>
      </c>
      <c r="DJ471" s="26" t="s">
        <v>1358</v>
      </c>
      <c r="DK471" t="s">
        <v>736</v>
      </c>
      <c r="DL471">
        <v>41.6</v>
      </c>
      <c r="DM471">
        <v>0</v>
      </c>
      <c r="DN471">
        <v>25</v>
      </c>
      <c r="DO471" s="26" t="s">
        <v>1358</v>
      </c>
      <c r="DP471" t="s">
        <v>1</v>
      </c>
      <c r="DQ471" t="s">
        <v>1</v>
      </c>
      <c r="DR471" t="s">
        <v>1</v>
      </c>
      <c r="DS471" t="s">
        <v>1</v>
      </c>
      <c r="DT471" t="s">
        <v>1</v>
      </c>
      <c r="DU471" t="s">
        <v>1</v>
      </c>
      <c r="EA471" t="s">
        <v>982</v>
      </c>
      <c r="EB471">
        <v>9.6999999999999993</v>
      </c>
      <c r="EC471">
        <v>0</v>
      </c>
      <c r="ED471">
        <v>25</v>
      </c>
      <c r="EE471" s="26" t="s">
        <v>1358</v>
      </c>
      <c r="EF471" s="26"/>
      <c r="FZ471" t="s">
        <v>806</v>
      </c>
      <c r="GA471">
        <v>867.32500000000005</v>
      </c>
      <c r="GE471" s="26" t="s">
        <v>1358</v>
      </c>
      <c r="HA471" s="5" t="s">
        <v>1</v>
      </c>
      <c r="HB471" s="4" t="s">
        <v>1</v>
      </c>
      <c r="HC471" t="s">
        <v>1</v>
      </c>
      <c r="HD471" t="s">
        <v>1</v>
      </c>
      <c r="HE471" t="s">
        <v>1</v>
      </c>
      <c r="HF471" s="5" t="s">
        <v>1063</v>
      </c>
      <c r="HG471" s="4">
        <v>1.44</v>
      </c>
      <c r="HH471">
        <v>0</v>
      </c>
      <c r="HI471">
        <v>25</v>
      </c>
      <c r="HJ471" s="26" t="s">
        <v>1358</v>
      </c>
      <c r="HK471" t="s">
        <v>815</v>
      </c>
      <c r="HL471">
        <v>1.25</v>
      </c>
      <c r="HM471">
        <v>0</v>
      </c>
      <c r="HN471">
        <v>25</v>
      </c>
      <c r="HO471" t="s">
        <v>1</v>
      </c>
      <c r="HP471" s="26" t="s">
        <v>1358</v>
      </c>
      <c r="HZ471" t="s">
        <v>1</v>
      </c>
      <c r="IA471" t="s">
        <v>1</v>
      </c>
      <c r="IB471" s="10" t="s">
        <v>1</v>
      </c>
      <c r="IC471" s="10"/>
      <c r="ID471" s="10"/>
      <c r="IE471" s="10" t="s">
        <v>1</v>
      </c>
      <c r="IF471" s="10" t="s">
        <v>1</v>
      </c>
      <c r="IG471" s="10"/>
      <c r="IH471" s="10"/>
      <c r="II471" s="10"/>
      <c r="IJ471" s="10"/>
      <c r="IK471" s="10"/>
      <c r="IL471" s="10"/>
      <c r="IM471" s="10"/>
      <c r="IN471" s="10"/>
      <c r="IO471" s="10"/>
      <c r="IP471" s="10"/>
      <c r="IQ471" s="10"/>
      <c r="IR471" s="10"/>
      <c r="IS471" t="s">
        <v>1</v>
      </c>
      <c r="IT471" t="s">
        <v>1</v>
      </c>
      <c r="IW471" t="s">
        <v>979</v>
      </c>
      <c r="IX471">
        <v>553</v>
      </c>
      <c r="IY471" t="s">
        <v>808</v>
      </c>
      <c r="IZ471">
        <v>1675</v>
      </c>
      <c r="JA471" t="s">
        <v>1</v>
      </c>
      <c r="JB471" s="3" t="s">
        <v>1</v>
      </c>
      <c r="JC471" t="s">
        <v>1</v>
      </c>
      <c r="JD471" s="4" t="s">
        <v>1</v>
      </c>
      <c r="JE471" t="s">
        <v>1</v>
      </c>
      <c r="JF471" t="s">
        <v>1</v>
      </c>
      <c r="JR471" t="s">
        <v>1066</v>
      </c>
      <c r="JS471">
        <v>283.5</v>
      </c>
      <c r="JU471" t="s">
        <v>1</v>
      </c>
      <c r="JW471" t="s">
        <v>1</v>
      </c>
      <c r="JX471">
        <v>0</v>
      </c>
      <c r="JY471">
        <v>90</v>
      </c>
      <c r="JZ471" t="s">
        <v>796</v>
      </c>
      <c r="KA471" t="s">
        <v>198</v>
      </c>
      <c r="KB471" t="s">
        <v>738</v>
      </c>
      <c r="KC471" t="s">
        <v>1</v>
      </c>
      <c r="KD471" t="s">
        <v>1</v>
      </c>
      <c r="KE471" t="s">
        <v>1</v>
      </c>
      <c r="KF471" t="s">
        <v>1</v>
      </c>
      <c r="KG471" t="s">
        <v>1</v>
      </c>
      <c r="KH471" t="s">
        <v>1</v>
      </c>
      <c r="KI471" t="s">
        <v>1</v>
      </c>
      <c r="KJ471" t="s">
        <v>1</v>
      </c>
      <c r="KK471" t="s">
        <v>1</v>
      </c>
    </row>
    <row r="472" spans="1:297" x14ac:dyDescent="0.2">
      <c r="A472">
        <v>440</v>
      </c>
      <c r="B472" t="s">
        <v>705</v>
      </c>
      <c r="C472" t="s">
        <v>540</v>
      </c>
      <c r="D472" t="s">
        <v>522</v>
      </c>
      <c r="E472">
        <v>75</v>
      </c>
      <c r="F472" t="s">
        <v>523</v>
      </c>
      <c r="G472" t="s">
        <v>1</v>
      </c>
      <c r="H472" s="26" t="s">
        <v>1420</v>
      </c>
      <c r="I472" t="s">
        <v>1</v>
      </c>
      <c r="J472" t="s">
        <v>1</v>
      </c>
      <c r="K472" t="s">
        <v>1</v>
      </c>
      <c r="L472" t="s">
        <v>1</v>
      </c>
      <c r="M472" t="s">
        <v>1</v>
      </c>
      <c r="N472" t="s">
        <v>1</v>
      </c>
      <c r="O472" t="s">
        <v>1</v>
      </c>
      <c r="P472" t="s">
        <v>1</v>
      </c>
      <c r="Q472" t="s">
        <v>1</v>
      </c>
      <c r="R472" t="s">
        <v>1</v>
      </c>
      <c r="S472" t="s">
        <v>1</v>
      </c>
      <c r="T472" t="s">
        <v>1</v>
      </c>
      <c r="U472" t="s">
        <v>1</v>
      </c>
      <c r="V472" t="s">
        <v>1</v>
      </c>
      <c r="W472" t="s">
        <v>1</v>
      </c>
      <c r="X472" t="s">
        <v>1</v>
      </c>
      <c r="Y472" t="s">
        <v>1</v>
      </c>
      <c r="Z472" t="s">
        <v>1</v>
      </c>
      <c r="AA472" t="s">
        <v>1</v>
      </c>
      <c r="AB472" t="s">
        <v>1</v>
      </c>
      <c r="AC472" t="s">
        <v>1</v>
      </c>
      <c r="AD472" t="s">
        <v>1</v>
      </c>
      <c r="AE472" t="s">
        <v>1</v>
      </c>
      <c r="AF472" t="s">
        <v>1</v>
      </c>
      <c r="AG472" t="s">
        <v>1</v>
      </c>
      <c r="AH472" t="s">
        <v>1</v>
      </c>
      <c r="AI472" t="s">
        <v>1</v>
      </c>
      <c r="AJ472" t="s">
        <v>1</v>
      </c>
      <c r="AK472" t="s">
        <v>1</v>
      </c>
      <c r="AL472" t="s">
        <v>1</v>
      </c>
      <c r="AM472" t="s">
        <v>1</v>
      </c>
      <c r="AN472">
        <v>440</v>
      </c>
      <c r="AO472">
        <f t="shared" si="59"/>
        <v>440</v>
      </c>
      <c r="AP472">
        <f t="shared" si="62"/>
        <v>75</v>
      </c>
      <c r="AQ472">
        <f t="shared" si="61"/>
        <v>75</v>
      </c>
      <c r="AR472" s="26" t="s">
        <v>1355</v>
      </c>
      <c r="AS472" s="26" t="s">
        <v>1356</v>
      </c>
      <c r="AT472" t="s">
        <v>726</v>
      </c>
      <c r="AU472" t="s">
        <v>1</v>
      </c>
      <c r="AV472" t="s">
        <v>1</v>
      </c>
      <c r="AW472">
        <v>44.79</v>
      </c>
      <c r="AX472">
        <v>11.02</v>
      </c>
      <c r="AY472" t="s">
        <v>737</v>
      </c>
      <c r="BA472" s="3">
        <v>3</v>
      </c>
      <c r="BB472" s="3"/>
      <c r="BC472" s="3"/>
      <c r="BD472" s="3"/>
      <c r="BE472" s="3"/>
      <c r="BF472">
        <v>1979</v>
      </c>
      <c r="BG472" s="24" t="s">
        <v>733</v>
      </c>
      <c r="BH472" s="24" t="s">
        <v>733</v>
      </c>
      <c r="BI472" s="24" t="s">
        <v>733</v>
      </c>
      <c r="BJ472" s="24" t="s">
        <v>732</v>
      </c>
      <c r="BK472" s="24" t="s">
        <v>733</v>
      </c>
      <c r="BL472" s="25" t="s">
        <v>733</v>
      </c>
      <c r="BM472" s="24" t="s">
        <v>733</v>
      </c>
      <c r="BN472" s="24" t="s">
        <v>732</v>
      </c>
      <c r="BO472" s="24" t="s">
        <v>733</v>
      </c>
      <c r="BP472" s="24" t="s">
        <v>733</v>
      </c>
      <c r="BQ472" s="24" t="s">
        <v>945</v>
      </c>
      <c r="BR472" s="24" t="s">
        <v>945</v>
      </c>
      <c r="BS472" s="25" t="s">
        <v>934</v>
      </c>
      <c r="BT472" s="24" t="s">
        <v>934</v>
      </c>
      <c r="BU472" s="24" t="s">
        <v>934</v>
      </c>
      <c r="BV472" s="24" t="s">
        <v>934</v>
      </c>
      <c r="BW472" s="24" t="s">
        <v>934</v>
      </c>
      <c r="BX472" s="24" t="s">
        <v>934</v>
      </c>
      <c r="BY472" s="25" t="s">
        <v>945</v>
      </c>
      <c r="BZ472" t="s">
        <v>788</v>
      </c>
      <c r="CB472" t="s">
        <v>525</v>
      </c>
      <c r="CC472" s="4" t="s">
        <v>1</v>
      </c>
      <c r="CD472" s="4"/>
      <c r="CE472" s="4"/>
      <c r="CF472" t="s">
        <v>1</v>
      </c>
      <c r="CG472" t="s">
        <v>1</v>
      </c>
      <c r="CH472" t="s">
        <v>805</v>
      </c>
      <c r="CI472" s="28">
        <v>0.9</v>
      </c>
      <c r="CJ472" s="9" t="s">
        <v>1</v>
      </c>
      <c r="CK472" s="9" t="s">
        <v>1</v>
      </c>
      <c r="CL472" s="4" t="s">
        <v>1</v>
      </c>
      <c r="CM472" t="s">
        <v>847</v>
      </c>
      <c r="CN472" s="4">
        <v>372.56</v>
      </c>
      <c r="CO472" s="4" t="s">
        <v>1</v>
      </c>
      <c r="CP472" s="4" t="s">
        <v>1</v>
      </c>
      <c r="CQ472" s="4" t="s">
        <v>1</v>
      </c>
      <c r="CR472" s="4" t="s">
        <v>1</v>
      </c>
      <c r="CS472" s="4" t="s">
        <v>1</v>
      </c>
      <c r="CT472" s="4" t="s">
        <v>1</v>
      </c>
      <c r="CU472" s="4" t="s">
        <v>1</v>
      </c>
      <c r="CV472" t="s">
        <v>857</v>
      </c>
      <c r="CW472">
        <v>100</v>
      </c>
      <c r="CX472">
        <v>0</v>
      </c>
      <c r="CY472">
        <v>25</v>
      </c>
      <c r="CZ472" s="26" t="s">
        <v>1358</v>
      </c>
      <c r="DA472" t="s">
        <v>734</v>
      </c>
      <c r="DB472">
        <v>10.9</v>
      </c>
      <c r="DC472">
        <v>0</v>
      </c>
      <c r="DD472">
        <v>25</v>
      </c>
      <c r="DE472" s="26" t="s">
        <v>1358</v>
      </c>
      <c r="DF472" t="s">
        <v>735</v>
      </c>
      <c r="DG472">
        <v>47.5</v>
      </c>
      <c r="DH472">
        <v>0</v>
      </c>
      <c r="DI472">
        <v>25</v>
      </c>
      <c r="DJ472" s="26" t="s">
        <v>1358</v>
      </c>
      <c r="DK472" t="s">
        <v>736</v>
      </c>
      <c r="DL472">
        <v>41.6</v>
      </c>
      <c r="DM472">
        <v>0</v>
      </c>
      <c r="DN472">
        <v>25</v>
      </c>
      <c r="DO472" s="26" t="s">
        <v>1358</v>
      </c>
      <c r="DP472" t="s">
        <v>1</v>
      </c>
      <c r="DQ472" t="s">
        <v>1</v>
      </c>
      <c r="DR472" t="s">
        <v>1</v>
      </c>
      <c r="DS472" t="s">
        <v>1</v>
      </c>
      <c r="DT472" t="s">
        <v>1</v>
      </c>
      <c r="DU472" t="s">
        <v>1</v>
      </c>
      <c r="EA472" t="s">
        <v>982</v>
      </c>
      <c r="EB472">
        <v>9.6999999999999993</v>
      </c>
      <c r="EC472">
        <v>0</v>
      </c>
      <c r="ED472">
        <v>25</v>
      </c>
      <c r="EE472" s="26" t="s">
        <v>1358</v>
      </c>
      <c r="EF472" s="26"/>
      <c r="FZ472" t="s">
        <v>806</v>
      </c>
      <c r="GA472">
        <v>867.32500000000005</v>
      </c>
      <c r="GE472" s="26" t="s">
        <v>1358</v>
      </c>
      <c r="HA472" s="5" t="s">
        <v>1</v>
      </c>
      <c r="HB472" s="4" t="s">
        <v>1</v>
      </c>
      <c r="HC472" t="s">
        <v>1</v>
      </c>
      <c r="HD472" t="s">
        <v>1</v>
      </c>
      <c r="HE472" t="s">
        <v>1</v>
      </c>
      <c r="HF472" s="5" t="s">
        <v>1063</v>
      </c>
      <c r="HG472" s="4">
        <v>1.44</v>
      </c>
      <c r="HH472">
        <v>0</v>
      </c>
      <c r="HI472">
        <v>25</v>
      </c>
      <c r="HJ472" s="26" t="s">
        <v>1358</v>
      </c>
      <c r="HK472" t="s">
        <v>815</v>
      </c>
      <c r="HL472">
        <v>1.25</v>
      </c>
      <c r="HM472">
        <v>0</v>
      </c>
      <c r="HN472">
        <v>25</v>
      </c>
      <c r="HO472" t="s">
        <v>1</v>
      </c>
      <c r="HP472" s="26" t="s">
        <v>1358</v>
      </c>
      <c r="HZ472" t="s">
        <v>1</v>
      </c>
      <c r="IA472" t="s">
        <v>1</v>
      </c>
      <c r="IB472" s="10" t="s">
        <v>1</v>
      </c>
      <c r="IC472" s="10"/>
      <c r="ID472" s="10"/>
      <c r="IE472" s="10" t="s">
        <v>1</v>
      </c>
      <c r="IF472" s="10" t="s">
        <v>1</v>
      </c>
      <c r="IG472" s="10"/>
      <c r="IH472" s="10"/>
      <c r="II472" s="10"/>
      <c r="IJ472" s="10"/>
      <c r="IK472" s="10"/>
      <c r="IL472" s="10"/>
      <c r="IM472" s="10"/>
      <c r="IN472" s="10"/>
      <c r="IO472" s="10"/>
      <c r="IP472" s="10"/>
      <c r="IQ472" s="10"/>
      <c r="IR472" s="10"/>
      <c r="IS472" t="s">
        <v>1</v>
      </c>
      <c r="IT472" t="s">
        <v>1</v>
      </c>
      <c r="IW472" t="s">
        <v>979</v>
      </c>
      <c r="IX472">
        <v>832</v>
      </c>
      <c r="IY472" t="s">
        <v>808</v>
      </c>
      <c r="IZ472">
        <v>1675</v>
      </c>
      <c r="JA472" t="s">
        <v>1</v>
      </c>
      <c r="JB472" s="3" t="s">
        <v>1</v>
      </c>
      <c r="JC472" t="s">
        <v>1</v>
      </c>
      <c r="JD472" s="4" t="s">
        <v>1</v>
      </c>
      <c r="JE472" t="s">
        <v>1</v>
      </c>
      <c r="JF472" t="s">
        <v>1</v>
      </c>
      <c r="JR472" t="s">
        <v>1066</v>
      </c>
      <c r="JS472">
        <v>539.4</v>
      </c>
      <c r="JU472" t="s">
        <v>1</v>
      </c>
      <c r="JW472" t="s">
        <v>1</v>
      </c>
      <c r="JX472">
        <v>0</v>
      </c>
      <c r="JY472">
        <v>90</v>
      </c>
      <c r="JZ472" t="s">
        <v>796</v>
      </c>
      <c r="KA472" t="s">
        <v>198</v>
      </c>
      <c r="KB472" t="s">
        <v>738</v>
      </c>
      <c r="KC472" t="s">
        <v>1</v>
      </c>
      <c r="KD472" t="s">
        <v>1</v>
      </c>
      <c r="KE472" t="s">
        <v>1</v>
      </c>
      <c r="KF472" t="s">
        <v>1</v>
      </c>
      <c r="KG472" t="s">
        <v>1</v>
      </c>
      <c r="KH472" t="s">
        <v>1</v>
      </c>
      <c r="KI472" t="s">
        <v>1</v>
      </c>
      <c r="KJ472" t="s">
        <v>1</v>
      </c>
      <c r="KK472" t="s">
        <v>1</v>
      </c>
    </row>
    <row r="473" spans="1:297" x14ac:dyDescent="0.2">
      <c r="A473">
        <v>441</v>
      </c>
      <c r="B473" t="s">
        <v>705</v>
      </c>
      <c r="C473" t="s">
        <v>543</v>
      </c>
      <c r="D473" t="s">
        <v>541</v>
      </c>
      <c r="E473">
        <v>76</v>
      </c>
      <c r="F473" t="s">
        <v>542</v>
      </c>
      <c r="G473" t="s">
        <v>1</v>
      </c>
      <c r="H473" s="26" t="s">
        <v>1420</v>
      </c>
      <c r="I473" t="s">
        <v>1</v>
      </c>
      <c r="J473" t="s">
        <v>1</v>
      </c>
      <c r="K473" t="s">
        <v>1</v>
      </c>
      <c r="L473" t="s">
        <v>1</v>
      </c>
      <c r="M473" t="s">
        <v>1</v>
      </c>
      <c r="N473" t="s">
        <v>1</v>
      </c>
      <c r="O473" t="s">
        <v>1</v>
      </c>
      <c r="P473" t="s">
        <v>1</v>
      </c>
      <c r="Q473" t="s">
        <v>1</v>
      </c>
      <c r="R473" t="s">
        <v>1</v>
      </c>
      <c r="S473" t="s">
        <v>1</v>
      </c>
      <c r="T473" t="s">
        <v>1</v>
      </c>
      <c r="U473" t="s">
        <v>1</v>
      </c>
      <c r="V473" t="s">
        <v>1</v>
      </c>
      <c r="W473" t="s">
        <v>1</v>
      </c>
      <c r="X473" t="s">
        <v>1</v>
      </c>
      <c r="Y473" t="s">
        <v>1</v>
      </c>
      <c r="Z473" t="s">
        <v>1</v>
      </c>
      <c r="AA473" t="s">
        <v>1</v>
      </c>
      <c r="AB473" t="s">
        <v>1</v>
      </c>
      <c r="AC473" t="s">
        <v>1</v>
      </c>
      <c r="AD473" t="s">
        <v>1</v>
      </c>
      <c r="AE473" t="s">
        <v>1</v>
      </c>
      <c r="AF473" t="s">
        <v>1</v>
      </c>
      <c r="AG473" t="s">
        <v>1</v>
      </c>
      <c r="AH473" t="s">
        <v>1</v>
      </c>
      <c r="AI473" t="s">
        <v>1</v>
      </c>
      <c r="AJ473" t="s">
        <v>1</v>
      </c>
      <c r="AK473" t="s">
        <v>1</v>
      </c>
      <c r="AL473" t="s">
        <v>1</v>
      </c>
      <c r="AM473" t="s">
        <v>1</v>
      </c>
      <c r="AN473">
        <v>441</v>
      </c>
      <c r="AO473">
        <f t="shared" si="59"/>
        <v>441</v>
      </c>
      <c r="AP473">
        <f t="shared" si="62"/>
        <v>76</v>
      </c>
      <c r="AQ473">
        <f t="shared" si="61"/>
        <v>76</v>
      </c>
      <c r="AR473" s="26" t="s">
        <v>1355</v>
      </c>
      <c r="AS473" s="26" t="s">
        <v>1356</v>
      </c>
      <c r="AT473" t="s">
        <v>716</v>
      </c>
      <c r="AU473" t="s">
        <v>1</v>
      </c>
      <c r="AV473" t="s">
        <v>1</v>
      </c>
      <c r="AW473">
        <v>54.32</v>
      </c>
      <c r="AX473">
        <v>9.98</v>
      </c>
      <c r="AY473" t="s">
        <v>737</v>
      </c>
      <c r="BA473" s="3">
        <v>8</v>
      </c>
      <c r="BB473" s="3"/>
      <c r="BC473" s="3"/>
      <c r="BD473" s="3"/>
      <c r="BE473" s="3"/>
      <c r="BF473">
        <v>2009</v>
      </c>
      <c r="BG473" s="24" t="s">
        <v>733</v>
      </c>
      <c r="BH473" s="24" t="s">
        <v>733</v>
      </c>
      <c r="BI473" s="24" t="s">
        <v>733</v>
      </c>
      <c r="BJ473" s="24" t="s">
        <v>732</v>
      </c>
      <c r="BK473" s="24" t="s">
        <v>733</v>
      </c>
      <c r="BL473" s="25" t="s">
        <v>733</v>
      </c>
      <c r="BM473" s="24" t="s">
        <v>733</v>
      </c>
      <c r="BN473" s="24" t="s">
        <v>732</v>
      </c>
      <c r="BO473" s="24" t="s">
        <v>733</v>
      </c>
      <c r="BP473" s="24" t="s">
        <v>733</v>
      </c>
      <c r="BQ473" s="24" t="s">
        <v>945</v>
      </c>
      <c r="BR473" s="24" t="s">
        <v>945</v>
      </c>
      <c r="BS473" s="25" t="s">
        <v>934</v>
      </c>
      <c r="BT473" s="24" t="s">
        <v>934</v>
      </c>
      <c r="BU473" s="24" t="s">
        <v>934</v>
      </c>
      <c r="BV473" s="24" t="s">
        <v>934</v>
      </c>
      <c r="BW473" s="24" t="s">
        <v>934</v>
      </c>
      <c r="BX473" s="24" t="s">
        <v>934</v>
      </c>
      <c r="BY473" s="25" t="s">
        <v>945</v>
      </c>
      <c r="BZ473" t="s">
        <v>5</v>
      </c>
      <c r="CB473" t="s">
        <v>1</v>
      </c>
      <c r="CC473" s="4" t="s">
        <v>1</v>
      </c>
      <c r="CD473" s="4"/>
      <c r="CE473" s="4"/>
      <c r="CF473" t="s">
        <v>1</v>
      </c>
      <c r="CG473" t="s">
        <v>1</v>
      </c>
      <c r="CH473" t="s">
        <v>805</v>
      </c>
      <c r="CI473" s="28">
        <v>1</v>
      </c>
      <c r="CJ473" s="9" t="s">
        <v>1</v>
      </c>
      <c r="CK473" s="9" t="s">
        <v>1</v>
      </c>
      <c r="CL473" s="4" t="s">
        <v>1</v>
      </c>
      <c r="CM473" t="s">
        <v>847</v>
      </c>
      <c r="CN473" s="4">
        <v>123.36316283164288</v>
      </c>
      <c r="CO473" s="4" t="s">
        <v>1</v>
      </c>
      <c r="CP473" s="4" t="s">
        <v>1</v>
      </c>
      <c r="CQ473" s="4" t="s">
        <v>1</v>
      </c>
      <c r="CR473" s="4" t="s">
        <v>1</v>
      </c>
      <c r="CS473" s="4" t="s">
        <v>1</v>
      </c>
      <c r="CT473" s="4" t="s">
        <v>1</v>
      </c>
      <c r="CU473" s="4" t="s">
        <v>1</v>
      </c>
      <c r="CV473" t="s">
        <v>855</v>
      </c>
      <c r="CW473">
        <v>100</v>
      </c>
      <c r="CX473">
        <v>0</v>
      </c>
      <c r="CY473">
        <v>30</v>
      </c>
      <c r="CZ473" s="26" t="s">
        <v>1358</v>
      </c>
      <c r="DA473" t="s">
        <v>734</v>
      </c>
      <c r="DB473">
        <v>59</v>
      </c>
      <c r="DC473">
        <v>0</v>
      </c>
      <c r="DD473">
        <v>30</v>
      </c>
      <c r="DE473" s="26" t="s">
        <v>1358</v>
      </c>
      <c r="DF473" t="s">
        <v>735</v>
      </c>
      <c r="DG473">
        <v>29</v>
      </c>
      <c r="DH473">
        <v>0</v>
      </c>
      <c r="DI473">
        <v>30</v>
      </c>
      <c r="DJ473" s="26" t="s">
        <v>1358</v>
      </c>
      <c r="DK473" t="s">
        <v>736</v>
      </c>
      <c r="DL473">
        <v>12</v>
      </c>
      <c r="DM473">
        <v>0</v>
      </c>
      <c r="DN473">
        <v>30</v>
      </c>
      <c r="DO473" s="26" t="s">
        <v>1358</v>
      </c>
      <c r="DP473" t="s">
        <v>6</v>
      </c>
      <c r="DQ473" t="s">
        <v>1</v>
      </c>
      <c r="DR473">
        <v>6.7</v>
      </c>
      <c r="DS473">
        <v>0</v>
      </c>
      <c r="DT473">
        <v>30</v>
      </c>
      <c r="DU473" s="26" t="s">
        <v>1358</v>
      </c>
      <c r="EA473" t="s">
        <v>982</v>
      </c>
      <c r="EB473">
        <v>1.3</v>
      </c>
      <c r="EC473">
        <v>0</v>
      </c>
      <c r="ED473">
        <v>30</v>
      </c>
      <c r="EE473" s="26" t="s">
        <v>1358</v>
      </c>
      <c r="EF473" s="26"/>
      <c r="FZ473" t="s">
        <v>806</v>
      </c>
      <c r="GA473">
        <v>823.5</v>
      </c>
      <c r="GE473" s="26" t="s">
        <v>1358</v>
      </c>
      <c r="HA473" s="5" t="s">
        <v>1</v>
      </c>
      <c r="HB473" s="4" t="s">
        <v>1</v>
      </c>
      <c r="HC473" t="s">
        <v>1</v>
      </c>
      <c r="HD473" t="s">
        <v>1</v>
      </c>
      <c r="HE473" t="s">
        <v>1</v>
      </c>
      <c r="HF473" s="5" t="s">
        <v>1063</v>
      </c>
      <c r="HG473" s="4">
        <v>0.11</v>
      </c>
      <c r="HH473">
        <v>0</v>
      </c>
      <c r="HI473">
        <v>30</v>
      </c>
      <c r="HJ473" s="26" t="s">
        <v>1358</v>
      </c>
      <c r="HK473" t="s">
        <v>1</v>
      </c>
      <c r="HL473" t="s">
        <v>1</v>
      </c>
      <c r="HM473" t="s">
        <v>1</v>
      </c>
      <c r="HN473" t="s">
        <v>1</v>
      </c>
      <c r="HO473" t="s">
        <v>1</v>
      </c>
      <c r="HP473" t="s">
        <v>1</v>
      </c>
      <c r="HZ473" t="s">
        <v>1</v>
      </c>
      <c r="IA473" t="s">
        <v>1</v>
      </c>
      <c r="IB473" s="10" t="s">
        <v>1</v>
      </c>
      <c r="IC473" s="10"/>
      <c r="ID473" s="10"/>
      <c r="IE473" s="10" t="s">
        <v>1</v>
      </c>
      <c r="IF473" s="10" t="s">
        <v>1</v>
      </c>
      <c r="IG473" s="10"/>
      <c r="IH473" s="10"/>
      <c r="II473" s="10"/>
      <c r="IJ473" s="10"/>
      <c r="IK473" s="10"/>
      <c r="IL473" s="10"/>
      <c r="IM473" s="10"/>
      <c r="IN473" s="10"/>
      <c r="IO473" s="10"/>
      <c r="IP473" s="10"/>
      <c r="IQ473" s="10"/>
      <c r="IR473" s="10"/>
      <c r="IS473" t="s">
        <v>1</v>
      </c>
      <c r="IT473" t="s">
        <v>1</v>
      </c>
      <c r="IW473" t="s">
        <v>1</v>
      </c>
      <c r="IX473" t="s">
        <v>1</v>
      </c>
      <c r="IY473" t="s">
        <v>1</v>
      </c>
      <c r="IZ473" t="s">
        <v>1</v>
      </c>
      <c r="JA473" t="s">
        <v>1</v>
      </c>
      <c r="JB473" s="3" t="s">
        <v>1</v>
      </c>
      <c r="JC473" t="s">
        <v>1</v>
      </c>
      <c r="JD473" s="4" t="s">
        <v>1</v>
      </c>
      <c r="JE473" t="s">
        <v>1</v>
      </c>
      <c r="JF473" t="s">
        <v>1</v>
      </c>
      <c r="JR473" t="s">
        <v>1066</v>
      </c>
      <c r="JS473">
        <v>69.3</v>
      </c>
      <c r="JU473" t="s">
        <v>1</v>
      </c>
      <c r="JW473" t="s">
        <v>842</v>
      </c>
      <c r="JX473">
        <v>0</v>
      </c>
      <c r="JY473">
        <v>60</v>
      </c>
      <c r="JZ473" t="s">
        <v>800</v>
      </c>
      <c r="KA473" t="s">
        <v>544</v>
      </c>
      <c r="KB473" t="s">
        <v>738</v>
      </c>
      <c r="KC473" t="s">
        <v>1067</v>
      </c>
      <c r="KD473" s="1">
        <f>0.1/5.9*JS473</f>
        <v>1.1745762711864407</v>
      </c>
      <c r="KE473" s="11" t="s">
        <v>1</v>
      </c>
      <c r="KF473" s="11" t="s">
        <v>1</v>
      </c>
      <c r="KG473">
        <v>0</v>
      </c>
      <c r="KH473">
        <v>60</v>
      </c>
      <c r="KI473" t="s">
        <v>800</v>
      </c>
      <c r="KJ473" t="s">
        <v>544</v>
      </c>
      <c r="KK473" t="s">
        <v>738</v>
      </c>
    </row>
    <row r="474" spans="1:297" x14ac:dyDescent="0.2">
      <c r="A474">
        <v>442</v>
      </c>
      <c r="B474" t="s">
        <v>705</v>
      </c>
      <c r="C474" t="s">
        <v>545</v>
      </c>
      <c r="D474" t="s">
        <v>541</v>
      </c>
      <c r="E474">
        <v>76</v>
      </c>
      <c r="F474" t="s">
        <v>542</v>
      </c>
      <c r="G474" t="s">
        <v>1</v>
      </c>
      <c r="H474" s="26" t="s">
        <v>1420</v>
      </c>
      <c r="I474" t="s">
        <v>1</v>
      </c>
      <c r="J474" t="s">
        <v>1</v>
      </c>
      <c r="K474" t="s">
        <v>1</v>
      </c>
      <c r="L474" t="s">
        <v>1</v>
      </c>
      <c r="M474" t="s">
        <v>1</v>
      </c>
      <c r="N474" t="s">
        <v>1</v>
      </c>
      <c r="O474" t="s">
        <v>1</v>
      </c>
      <c r="P474" t="s">
        <v>1</v>
      </c>
      <c r="Q474" t="s">
        <v>1</v>
      </c>
      <c r="R474" t="s">
        <v>1</v>
      </c>
      <c r="S474" t="s">
        <v>1</v>
      </c>
      <c r="T474" t="s">
        <v>1</v>
      </c>
      <c r="U474" t="s">
        <v>1</v>
      </c>
      <c r="V474" t="s">
        <v>1</v>
      </c>
      <c r="W474" t="s">
        <v>1</v>
      </c>
      <c r="X474" t="s">
        <v>1</v>
      </c>
      <c r="Y474" t="s">
        <v>1</v>
      </c>
      <c r="Z474" t="s">
        <v>1</v>
      </c>
      <c r="AA474" t="s">
        <v>1</v>
      </c>
      <c r="AB474" t="s">
        <v>1</v>
      </c>
      <c r="AC474" t="s">
        <v>1</v>
      </c>
      <c r="AD474" t="s">
        <v>1</v>
      </c>
      <c r="AE474" t="s">
        <v>1</v>
      </c>
      <c r="AF474" t="s">
        <v>1</v>
      </c>
      <c r="AG474" t="s">
        <v>1</v>
      </c>
      <c r="AH474" t="s">
        <v>1</v>
      </c>
      <c r="AI474" t="s">
        <v>1</v>
      </c>
      <c r="AJ474" t="s">
        <v>1</v>
      </c>
      <c r="AK474" t="s">
        <v>1</v>
      </c>
      <c r="AL474" t="s">
        <v>1</v>
      </c>
      <c r="AM474" t="s">
        <v>1</v>
      </c>
      <c r="AN474">
        <v>442</v>
      </c>
      <c r="AO474">
        <f t="shared" si="59"/>
        <v>442</v>
      </c>
      <c r="AP474">
        <f t="shared" si="62"/>
        <v>76</v>
      </c>
      <c r="AQ474">
        <f t="shared" si="61"/>
        <v>76</v>
      </c>
      <c r="AR474" s="26" t="s">
        <v>1355</v>
      </c>
      <c r="AS474" s="26" t="s">
        <v>1356</v>
      </c>
      <c r="AT474" t="s">
        <v>716</v>
      </c>
      <c r="AU474" t="s">
        <v>1</v>
      </c>
      <c r="AV474" t="s">
        <v>1</v>
      </c>
      <c r="AW474">
        <v>54.32</v>
      </c>
      <c r="AX474">
        <v>9.98</v>
      </c>
      <c r="AY474" t="s">
        <v>737</v>
      </c>
      <c r="BA474" s="3">
        <v>4</v>
      </c>
      <c r="BB474" s="3"/>
      <c r="BC474" s="3"/>
      <c r="BD474" s="3"/>
      <c r="BE474" s="3"/>
      <c r="BF474">
        <v>2009</v>
      </c>
      <c r="BG474" s="24" t="s">
        <v>733</v>
      </c>
      <c r="BH474" s="24" t="s">
        <v>733</v>
      </c>
      <c r="BI474" s="24" t="s">
        <v>733</v>
      </c>
      <c r="BJ474" s="24" t="s">
        <v>732</v>
      </c>
      <c r="BK474" s="24" t="s">
        <v>733</v>
      </c>
      <c r="BL474" s="25" t="s">
        <v>733</v>
      </c>
      <c r="BM474" s="24" t="s">
        <v>733</v>
      </c>
      <c r="BN474" s="24" t="s">
        <v>732</v>
      </c>
      <c r="BO474" s="24" t="s">
        <v>733</v>
      </c>
      <c r="BP474" s="24" t="s">
        <v>733</v>
      </c>
      <c r="BQ474" s="24" t="s">
        <v>945</v>
      </c>
      <c r="BR474" s="24" t="s">
        <v>945</v>
      </c>
      <c r="BS474" s="25" t="s">
        <v>934</v>
      </c>
      <c r="BT474" s="24" t="s">
        <v>934</v>
      </c>
      <c r="BU474" s="24" t="s">
        <v>934</v>
      </c>
      <c r="BV474" s="24" t="s">
        <v>934</v>
      </c>
      <c r="BW474" s="24" t="s">
        <v>934</v>
      </c>
      <c r="BX474" s="24" t="s">
        <v>934</v>
      </c>
      <c r="BY474" s="25" t="s">
        <v>945</v>
      </c>
      <c r="BZ474" t="s">
        <v>5</v>
      </c>
      <c r="CB474" t="s">
        <v>1</v>
      </c>
      <c r="CC474" s="4" t="s">
        <v>1</v>
      </c>
      <c r="CD474" s="4"/>
      <c r="CE474" s="4"/>
      <c r="CF474" t="s">
        <v>1</v>
      </c>
      <c r="CG474" t="s">
        <v>1</v>
      </c>
      <c r="CH474" t="s">
        <v>805</v>
      </c>
      <c r="CI474" s="28">
        <v>1</v>
      </c>
      <c r="CJ474" s="9" t="s">
        <v>1</v>
      </c>
      <c r="CK474" s="9" t="s">
        <v>1</v>
      </c>
      <c r="CL474" s="4" t="s">
        <v>1</v>
      </c>
      <c r="CM474" t="s">
        <v>847</v>
      </c>
      <c r="CN474" s="4">
        <v>210.93370438336632</v>
      </c>
      <c r="CO474" s="4" t="s">
        <v>1</v>
      </c>
      <c r="CP474" s="4" t="s">
        <v>1</v>
      </c>
      <c r="CQ474" s="4" t="s">
        <v>1</v>
      </c>
      <c r="CR474" s="4" t="s">
        <v>1</v>
      </c>
      <c r="CS474" s="4" t="s">
        <v>1</v>
      </c>
      <c r="CT474" s="4" t="s">
        <v>1</v>
      </c>
      <c r="CU474" s="4" t="s">
        <v>1</v>
      </c>
      <c r="CV474" t="s">
        <v>855</v>
      </c>
      <c r="CW474">
        <v>100</v>
      </c>
      <c r="CX474">
        <v>0</v>
      </c>
      <c r="CY474">
        <v>30</v>
      </c>
      <c r="CZ474" s="26" t="s">
        <v>1358</v>
      </c>
      <c r="DA474" t="s">
        <v>734</v>
      </c>
      <c r="DB474">
        <v>59</v>
      </c>
      <c r="DC474">
        <v>0</v>
      </c>
      <c r="DD474">
        <v>30</v>
      </c>
      <c r="DE474" s="26" t="s">
        <v>1358</v>
      </c>
      <c r="DF474" t="s">
        <v>735</v>
      </c>
      <c r="DG474">
        <v>29</v>
      </c>
      <c r="DH474">
        <v>0</v>
      </c>
      <c r="DI474">
        <v>30</v>
      </c>
      <c r="DJ474" s="26" t="s">
        <v>1358</v>
      </c>
      <c r="DK474" t="s">
        <v>736</v>
      </c>
      <c r="DL474">
        <v>12</v>
      </c>
      <c r="DM474">
        <v>0</v>
      </c>
      <c r="DN474">
        <v>30</v>
      </c>
      <c r="DO474" s="26" t="s">
        <v>1358</v>
      </c>
      <c r="DP474" t="s">
        <v>6</v>
      </c>
      <c r="DQ474" t="s">
        <v>1</v>
      </c>
      <c r="DR474">
        <v>6.7</v>
      </c>
      <c r="DS474">
        <v>0</v>
      </c>
      <c r="DT474">
        <v>30</v>
      </c>
      <c r="DU474" s="26" t="s">
        <v>1358</v>
      </c>
      <c r="EA474" t="s">
        <v>982</v>
      </c>
      <c r="EB474">
        <v>1.3</v>
      </c>
      <c r="EC474">
        <v>0</v>
      </c>
      <c r="ED474">
        <v>30</v>
      </c>
      <c r="EE474" s="26" t="s">
        <v>1358</v>
      </c>
      <c r="EF474" s="26"/>
      <c r="FZ474" t="s">
        <v>806</v>
      </c>
      <c r="GA474">
        <v>823.5</v>
      </c>
      <c r="GE474" s="26" t="s">
        <v>1358</v>
      </c>
      <c r="HA474" s="5" t="s">
        <v>1</v>
      </c>
      <c r="HB474" s="4" t="s">
        <v>1</v>
      </c>
      <c r="HC474" t="s">
        <v>1</v>
      </c>
      <c r="HD474" t="s">
        <v>1</v>
      </c>
      <c r="HE474" t="s">
        <v>1</v>
      </c>
      <c r="HF474" s="5" t="s">
        <v>1063</v>
      </c>
      <c r="HG474" s="4">
        <v>0.11</v>
      </c>
      <c r="HH474">
        <v>0</v>
      </c>
      <c r="HI474">
        <v>30</v>
      </c>
      <c r="HJ474" s="26" t="s">
        <v>1358</v>
      </c>
      <c r="HK474" t="s">
        <v>1</v>
      </c>
      <c r="HL474" t="s">
        <v>1</v>
      </c>
      <c r="HM474" t="s">
        <v>1</v>
      </c>
      <c r="HN474" t="s">
        <v>1</v>
      </c>
      <c r="HO474" t="s">
        <v>1</v>
      </c>
      <c r="HP474" t="s">
        <v>1</v>
      </c>
      <c r="HZ474" t="s">
        <v>968</v>
      </c>
      <c r="IA474">
        <v>120</v>
      </c>
      <c r="IB474" s="10" t="s">
        <v>1</v>
      </c>
      <c r="IC474" s="10"/>
      <c r="ID474" s="10"/>
      <c r="IE474" s="10" t="s">
        <v>1</v>
      </c>
      <c r="IF474" s="10" t="s">
        <v>1</v>
      </c>
      <c r="IG474" s="10"/>
      <c r="IH474" s="10"/>
      <c r="II474" s="10"/>
      <c r="IJ474" s="10"/>
      <c r="IK474" s="10"/>
      <c r="IL474" s="10"/>
      <c r="IM474" s="10"/>
      <c r="IN474" s="10"/>
      <c r="IO474" s="10"/>
      <c r="IP474" s="10"/>
      <c r="IQ474" s="10"/>
      <c r="IR474" s="10"/>
      <c r="IS474" t="s">
        <v>1</v>
      </c>
      <c r="IT474" t="s">
        <v>1</v>
      </c>
      <c r="IW474" t="s">
        <v>1</v>
      </c>
      <c r="IX474" t="s">
        <v>1</v>
      </c>
      <c r="IY474" t="s">
        <v>1</v>
      </c>
      <c r="IZ474" t="s">
        <v>1</v>
      </c>
      <c r="JA474" t="s">
        <v>1</v>
      </c>
      <c r="JB474" s="3" t="s">
        <v>1</v>
      </c>
      <c r="JC474" t="s">
        <v>1</v>
      </c>
      <c r="JD474" s="4" t="s">
        <v>1</v>
      </c>
      <c r="JE474" t="s">
        <v>1</v>
      </c>
      <c r="JF474" t="s">
        <v>1</v>
      </c>
      <c r="JR474" t="s">
        <v>1066</v>
      </c>
      <c r="JS474">
        <v>96.7</v>
      </c>
      <c r="JU474" t="s">
        <v>1</v>
      </c>
      <c r="JW474" t="s">
        <v>842</v>
      </c>
      <c r="JX474">
        <v>0</v>
      </c>
      <c r="JY474">
        <v>60</v>
      </c>
      <c r="JZ474" t="s">
        <v>800</v>
      </c>
      <c r="KA474" t="s">
        <v>544</v>
      </c>
      <c r="KB474" t="s">
        <v>738</v>
      </c>
      <c r="KC474" t="s">
        <v>1067</v>
      </c>
      <c r="KD474" s="1">
        <v>0</v>
      </c>
      <c r="KE474" s="11" t="s">
        <v>1</v>
      </c>
      <c r="KF474" s="11" t="s">
        <v>1</v>
      </c>
      <c r="KG474">
        <v>0</v>
      </c>
      <c r="KH474">
        <v>60</v>
      </c>
      <c r="KI474" t="s">
        <v>800</v>
      </c>
      <c r="KJ474" t="s">
        <v>544</v>
      </c>
      <c r="KK474" t="s">
        <v>738</v>
      </c>
    </row>
    <row r="475" spans="1:297" x14ac:dyDescent="0.2">
      <c r="A475">
        <v>443</v>
      </c>
      <c r="B475" t="s">
        <v>705</v>
      </c>
      <c r="C475" t="s">
        <v>546</v>
      </c>
      <c r="D475" t="s">
        <v>541</v>
      </c>
      <c r="E475">
        <v>76</v>
      </c>
      <c r="F475" t="s">
        <v>542</v>
      </c>
      <c r="G475" t="s">
        <v>1</v>
      </c>
      <c r="H475" s="26" t="s">
        <v>1420</v>
      </c>
      <c r="I475" t="s">
        <v>1</v>
      </c>
      <c r="J475" t="s">
        <v>1</v>
      </c>
      <c r="K475" t="s">
        <v>1</v>
      </c>
      <c r="L475" t="s">
        <v>1</v>
      </c>
      <c r="M475" t="s">
        <v>1</v>
      </c>
      <c r="N475" t="s">
        <v>1</v>
      </c>
      <c r="O475" t="s">
        <v>1</v>
      </c>
      <c r="P475" t="s">
        <v>1</v>
      </c>
      <c r="Q475" t="s">
        <v>1</v>
      </c>
      <c r="R475" t="s">
        <v>1</v>
      </c>
      <c r="S475" t="s">
        <v>1</v>
      </c>
      <c r="T475" t="s">
        <v>1</v>
      </c>
      <c r="U475" t="s">
        <v>1</v>
      </c>
      <c r="V475" t="s">
        <v>1</v>
      </c>
      <c r="W475" t="s">
        <v>1</v>
      </c>
      <c r="X475" t="s">
        <v>1</v>
      </c>
      <c r="Y475" t="s">
        <v>1</v>
      </c>
      <c r="Z475" t="s">
        <v>1</v>
      </c>
      <c r="AA475" t="s">
        <v>1</v>
      </c>
      <c r="AB475" t="s">
        <v>1</v>
      </c>
      <c r="AC475" t="s">
        <v>1</v>
      </c>
      <c r="AD475" t="s">
        <v>1</v>
      </c>
      <c r="AE475" t="s">
        <v>1</v>
      </c>
      <c r="AF475" t="s">
        <v>1</v>
      </c>
      <c r="AG475" t="s">
        <v>1</v>
      </c>
      <c r="AH475" t="s">
        <v>1</v>
      </c>
      <c r="AI475" t="s">
        <v>1</v>
      </c>
      <c r="AJ475" t="s">
        <v>1</v>
      </c>
      <c r="AK475" t="s">
        <v>1</v>
      </c>
      <c r="AL475" t="s">
        <v>1</v>
      </c>
      <c r="AM475" t="s">
        <v>1</v>
      </c>
      <c r="AN475">
        <v>443</v>
      </c>
      <c r="AO475">
        <f t="shared" si="59"/>
        <v>443</v>
      </c>
      <c r="AP475">
        <f t="shared" si="62"/>
        <v>76</v>
      </c>
      <c r="AQ475">
        <f t="shared" si="61"/>
        <v>76</v>
      </c>
      <c r="AR475" s="26" t="s">
        <v>1355</v>
      </c>
      <c r="AS475" s="26" t="s">
        <v>1356</v>
      </c>
      <c r="AT475" t="s">
        <v>716</v>
      </c>
      <c r="AU475" t="s">
        <v>1</v>
      </c>
      <c r="AV475" t="s">
        <v>1</v>
      </c>
      <c r="AW475">
        <v>54.32</v>
      </c>
      <c r="AX475">
        <v>9.98</v>
      </c>
      <c r="AY475" t="s">
        <v>737</v>
      </c>
      <c r="BA475" s="3">
        <v>4</v>
      </c>
      <c r="BB475" s="3"/>
      <c r="BC475" s="3"/>
      <c r="BD475" s="3"/>
      <c r="BE475" s="3"/>
      <c r="BF475">
        <v>2009</v>
      </c>
      <c r="BG475" s="24" t="s">
        <v>733</v>
      </c>
      <c r="BH475" s="24" t="s">
        <v>733</v>
      </c>
      <c r="BI475" s="24" t="s">
        <v>733</v>
      </c>
      <c r="BJ475" s="24" t="s">
        <v>732</v>
      </c>
      <c r="BK475" s="24" t="s">
        <v>733</v>
      </c>
      <c r="BL475" s="25" t="s">
        <v>733</v>
      </c>
      <c r="BM475" s="24" t="s">
        <v>733</v>
      </c>
      <c r="BN475" s="24" t="s">
        <v>732</v>
      </c>
      <c r="BO475" s="24" t="s">
        <v>733</v>
      </c>
      <c r="BP475" s="24" t="s">
        <v>733</v>
      </c>
      <c r="BQ475" s="24" t="s">
        <v>945</v>
      </c>
      <c r="BR475" s="24" t="s">
        <v>945</v>
      </c>
      <c r="BS475" s="25" t="s">
        <v>934</v>
      </c>
      <c r="BT475" s="24" t="s">
        <v>934</v>
      </c>
      <c r="BU475" s="24" t="s">
        <v>934</v>
      </c>
      <c r="BV475" s="24" t="s">
        <v>934</v>
      </c>
      <c r="BW475" s="24" t="s">
        <v>934</v>
      </c>
      <c r="BX475" s="24" t="s">
        <v>934</v>
      </c>
      <c r="BY475" s="25" t="s">
        <v>945</v>
      </c>
      <c r="BZ475" t="s">
        <v>5</v>
      </c>
      <c r="CB475" t="s">
        <v>1</v>
      </c>
      <c r="CC475" s="4" t="s">
        <v>1</v>
      </c>
      <c r="CD475" s="4"/>
      <c r="CE475" s="4"/>
      <c r="CF475" t="s">
        <v>1</v>
      </c>
      <c r="CG475" t="s">
        <v>1</v>
      </c>
      <c r="CH475" t="s">
        <v>805</v>
      </c>
      <c r="CI475" s="28">
        <v>1</v>
      </c>
      <c r="CJ475" s="9" t="s">
        <v>1</v>
      </c>
      <c r="CK475" s="9" t="s">
        <v>1</v>
      </c>
      <c r="CL475" s="4" t="s">
        <v>1</v>
      </c>
      <c r="CM475" t="s">
        <v>847</v>
      </c>
      <c r="CN475" s="4">
        <v>240.14831487413721</v>
      </c>
      <c r="CO475" s="4" t="s">
        <v>1</v>
      </c>
      <c r="CP475" s="4" t="s">
        <v>1</v>
      </c>
      <c r="CQ475" s="4" t="s">
        <v>1</v>
      </c>
      <c r="CR475" s="4" t="s">
        <v>1</v>
      </c>
      <c r="CS475" s="4" t="s">
        <v>1</v>
      </c>
      <c r="CT475" s="4" t="s">
        <v>1</v>
      </c>
      <c r="CU475" s="4" t="s">
        <v>1</v>
      </c>
      <c r="CV475" t="s">
        <v>855</v>
      </c>
      <c r="CW475">
        <v>100</v>
      </c>
      <c r="CX475">
        <v>0</v>
      </c>
      <c r="CY475">
        <v>30</v>
      </c>
      <c r="CZ475" s="26" t="s">
        <v>1358</v>
      </c>
      <c r="DA475" t="s">
        <v>734</v>
      </c>
      <c r="DB475">
        <v>59</v>
      </c>
      <c r="DC475">
        <v>0</v>
      </c>
      <c r="DD475">
        <v>30</v>
      </c>
      <c r="DE475" s="26" t="s">
        <v>1358</v>
      </c>
      <c r="DF475" t="s">
        <v>735</v>
      </c>
      <c r="DG475">
        <v>29</v>
      </c>
      <c r="DH475">
        <v>0</v>
      </c>
      <c r="DI475">
        <v>30</v>
      </c>
      <c r="DJ475" s="26" t="s">
        <v>1358</v>
      </c>
      <c r="DK475" t="s">
        <v>736</v>
      </c>
      <c r="DL475">
        <v>12</v>
      </c>
      <c r="DM475">
        <v>0</v>
      </c>
      <c r="DN475">
        <v>30</v>
      </c>
      <c r="DO475" s="26" t="s">
        <v>1358</v>
      </c>
      <c r="DP475" t="s">
        <v>6</v>
      </c>
      <c r="DQ475" t="s">
        <v>1</v>
      </c>
      <c r="DR475">
        <v>6.7</v>
      </c>
      <c r="DS475">
        <v>0</v>
      </c>
      <c r="DT475">
        <v>30</v>
      </c>
      <c r="DU475" s="26" t="s">
        <v>1358</v>
      </c>
      <c r="EA475" t="s">
        <v>982</v>
      </c>
      <c r="EB475">
        <v>1.3</v>
      </c>
      <c r="EC475">
        <v>0</v>
      </c>
      <c r="ED475">
        <v>30</v>
      </c>
      <c r="EE475" s="26" t="s">
        <v>1358</v>
      </c>
      <c r="EF475" s="26"/>
      <c r="FZ475" t="s">
        <v>806</v>
      </c>
      <c r="GA475">
        <v>823.5</v>
      </c>
      <c r="GE475" s="26" t="s">
        <v>1358</v>
      </c>
      <c r="HA475" s="5" t="s">
        <v>1</v>
      </c>
      <c r="HB475" s="4" t="s">
        <v>1</v>
      </c>
      <c r="HC475" t="s">
        <v>1</v>
      </c>
      <c r="HD475" t="s">
        <v>1</v>
      </c>
      <c r="HE475" t="s">
        <v>1</v>
      </c>
      <c r="HF475" s="5" t="s">
        <v>1063</v>
      </c>
      <c r="HG475" s="4">
        <v>0.11</v>
      </c>
      <c r="HH475">
        <v>0</v>
      </c>
      <c r="HI475">
        <v>30</v>
      </c>
      <c r="HJ475" s="26" t="s">
        <v>1358</v>
      </c>
      <c r="HK475" t="s">
        <v>1</v>
      </c>
      <c r="HL475" t="s">
        <v>1</v>
      </c>
      <c r="HM475" t="s">
        <v>1</v>
      </c>
      <c r="HN475" t="s">
        <v>1</v>
      </c>
      <c r="HO475" t="s">
        <v>1</v>
      </c>
      <c r="HP475" t="s">
        <v>1</v>
      </c>
      <c r="HZ475" t="s">
        <v>968</v>
      </c>
      <c r="IA475">
        <v>240</v>
      </c>
      <c r="IB475" s="10" t="s">
        <v>1</v>
      </c>
      <c r="IC475" s="10"/>
      <c r="ID475" s="10"/>
      <c r="IE475" s="10" t="s">
        <v>1</v>
      </c>
      <c r="IF475" s="10" t="s">
        <v>1</v>
      </c>
      <c r="IG475" s="10"/>
      <c r="IH475" s="10"/>
      <c r="II475" s="10"/>
      <c r="IJ475" s="10"/>
      <c r="IK475" s="10"/>
      <c r="IL475" s="10"/>
      <c r="IM475" s="10"/>
      <c r="IN475" s="10"/>
      <c r="IO475" s="10"/>
      <c r="IP475" s="10"/>
      <c r="IQ475" s="10"/>
      <c r="IR475" s="10"/>
      <c r="IS475" t="s">
        <v>1</v>
      </c>
      <c r="IT475" t="s">
        <v>1</v>
      </c>
      <c r="IW475" t="s">
        <v>1</v>
      </c>
      <c r="IX475" t="s">
        <v>1</v>
      </c>
      <c r="IY475" t="s">
        <v>1</v>
      </c>
      <c r="IZ475" t="s">
        <v>1</v>
      </c>
      <c r="JA475" t="s">
        <v>1</v>
      </c>
      <c r="JB475" s="3" t="s">
        <v>1</v>
      </c>
      <c r="JC475" t="s">
        <v>1</v>
      </c>
      <c r="JD475" s="4" t="s">
        <v>1</v>
      </c>
      <c r="JE475" t="s">
        <v>1</v>
      </c>
      <c r="JF475" t="s">
        <v>1</v>
      </c>
      <c r="JR475" t="s">
        <v>1066</v>
      </c>
      <c r="JS475">
        <v>517</v>
      </c>
      <c r="JU475" t="s">
        <v>1</v>
      </c>
      <c r="JW475" t="s">
        <v>842</v>
      </c>
      <c r="JX475">
        <v>0</v>
      </c>
      <c r="JY475">
        <v>60</v>
      </c>
      <c r="JZ475" t="s">
        <v>800</v>
      </c>
      <c r="KA475" t="s">
        <v>544</v>
      </c>
      <c r="KB475" t="s">
        <v>738</v>
      </c>
      <c r="KC475" t="s">
        <v>1067</v>
      </c>
      <c r="KD475" s="1">
        <v>0</v>
      </c>
      <c r="KE475" s="11" t="s">
        <v>1</v>
      </c>
      <c r="KF475" s="11" t="s">
        <v>1</v>
      </c>
      <c r="KG475">
        <v>0</v>
      </c>
      <c r="KH475">
        <v>60</v>
      </c>
      <c r="KI475" t="s">
        <v>800</v>
      </c>
      <c r="KJ475" t="s">
        <v>544</v>
      </c>
      <c r="KK475" t="s">
        <v>738</v>
      </c>
    </row>
    <row r="476" spans="1:297" x14ac:dyDescent="0.2">
      <c r="A476">
        <v>444</v>
      </c>
      <c r="B476" t="s">
        <v>705</v>
      </c>
      <c r="C476" t="s">
        <v>547</v>
      </c>
      <c r="D476" t="s">
        <v>541</v>
      </c>
      <c r="E476">
        <v>76</v>
      </c>
      <c r="F476" t="s">
        <v>542</v>
      </c>
      <c r="G476" t="s">
        <v>1</v>
      </c>
      <c r="H476" s="26" t="s">
        <v>1420</v>
      </c>
      <c r="I476" t="s">
        <v>1</v>
      </c>
      <c r="J476" t="s">
        <v>1</v>
      </c>
      <c r="K476" t="s">
        <v>1</v>
      </c>
      <c r="L476" t="s">
        <v>1</v>
      </c>
      <c r="M476" t="s">
        <v>1</v>
      </c>
      <c r="N476" t="s">
        <v>1</v>
      </c>
      <c r="O476" t="s">
        <v>1</v>
      </c>
      <c r="P476" t="s">
        <v>1</v>
      </c>
      <c r="Q476" t="s">
        <v>1</v>
      </c>
      <c r="R476" t="s">
        <v>1</v>
      </c>
      <c r="S476" t="s">
        <v>1</v>
      </c>
      <c r="T476" t="s">
        <v>1</v>
      </c>
      <c r="U476" t="s">
        <v>1</v>
      </c>
      <c r="V476" t="s">
        <v>1</v>
      </c>
      <c r="W476" t="s">
        <v>1</v>
      </c>
      <c r="X476" t="s">
        <v>1</v>
      </c>
      <c r="Y476" t="s">
        <v>1</v>
      </c>
      <c r="Z476" t="s">
        <v>1</v>
      </c>
      <c r="AA476" t="s">
        <v>1</v>
      </c>
      <c r="AB476" t="s">
        <v>1</v>
      </c>
      <c r="AC476" t="s">
        <v>1</v>
      </c>
      <c r="AD476" t="s">
        <v>1</v>
      </c>
      <c r="AE476" t="s">
        <v>1</v>
      </c>
      <c r="AF476" t="s">
        <v>1</v>
      </c>
      <c r="AG476" t="s">
        <v>1</v>
      </c>
      <c r="AH476" t="s">
        <v>1</v>
      </c>
      <c r="AI476" t="s">
        <v>1</v>
      </c>
      <c r="AJ476" t="s">
        <v>1</v>
      </c>
      <c r="AK476" t="s">
        <v>1</v>
      </c>
      <c r="AL476" t="s">
        <v>1</v>
      </c>
      <c r="AM476" t="s">
        <v>1</v>
      </c>
      <c r="AN476">
        <v>444</v>
      </c>
      <c r="AO476">
        <f t="shared" si="59"/>
        <v>444</v>
      </c>
      <c r="AP476">
        <f t="shared" si="62"/>
        <v>76</v>
      </c>
      <c r="AQ476">
        <f t="shared" si="61"/>
        <v>76</v>
      </c>
      <c r="AR476" s="26" t="s">
        <v>1355</v>
      </c>
      <c r="AS476" s="26" t="s">
        <v>1356</v>
      </c>
      <c r="AT476" t="s">
        <v>716</v>
      </c>
      <c r="AU476" t="s">
        <v>1</v>
      </c>
      <c r="AV476" t="s">
        <v>1</v>
      </c>
      <c r="AW476">
        <v>54.32</v>
      </c>
      <c r="AX476">
        <v>9.98</v>
      </c>
      <c r="AY476" t="s">
        <v>737</v>
      </c>
      <c r="BA476" s="3">
        <v>4</v>
      </c>
      <c r="BB476" s="3"/>
      <c r="BC476" s="3"/>
      <c r="BD476" s="3"/>
      <c r="BE476" s="3"/>
      <c r="BF476">
        <v>2009</v>
      </c>
      <c r="BG476" s="24" t="s">
        <v>733</v>
      </c>
      <c r="BH476" s="24" t="s">
        <v>733</v>
      </c>
      <c r="BI476" s="24" t="s">
        <v>733</v>
      </c>
      <c r="BJ476" s="24" t="s">
        <v>732</v>
      </c>
      <c r="BK476" s="24" t="s">
        <v>733</v>
      </c>
      <c r="BL476" s="25" t="s">
        <v>733</v>
      </c>
      <c r="BM476" s="24" t="s">
        <v>733</v>
      </c>
      <c r="BN476" s="24" t="s">
        <v>732</v>
      </c>
      <c r="BO476" s="24" t="s">
        <v>733</v>
      </c>
      <c r="BP476" s="24" t="s">
        <v>733</v>
      </c>
      <c r="BQ476" s="24" t="s">
        <v>945</v>
      </c>
      <c r="BR476" s="24" t="s">
        <v>945</v>
      </c>
      <c r="BS476" s="25" t="s">
        <v>934</v>
      </c>
      <c r="BT476" s="24" t="s">
        <v>934</v>
      </c>
      <c r="BU476" s="24" t="s">
        <v>934</v>
      </c>
      <c r="BV476" s="24" t="s">
        <v>934</v>
      </c>
      <c r="BW476" s="24" t="s">
        <v>934</v>
      </c>
      <c r="BX476" s="24" t="s">
        <v>934</v>
      </c>
      <c r="BY476" s="25" t="s">
        <v>945</v>
      </c>
      <c r="BZ476" t="s">
        <v>5</v>
      </c>
      <c r="CB476" t="s">
        <v>1</v>
      </c>
      <c r="CC476" s="4" t="s">
        <v>1</v>
      </c>
      <c r="CD476" s="4"/>
      <c r="CE476" s="4"/>
      <c r="CF476" t="s">
        <v>1</v>
      </c>
      <c r="CG476" t="s">
        <v>1</v>
      </c>
      <c r="CH476" t="s">
        <v>805</v>
      </c>
      <c r="CI476" s="28">
        <v>1</v>
      </c>
      <c r="CJ476" s="9" t="s">
        <v>1</v>
      </c>
      <c r="CK476" s="9" t="s">
        <v>1</v>
      </c>
      <c r="CL476" s="4" t="s">
        <v>1</v>
      </c>
      <c r="CM476" t="s">
        <v>847</v>
      </c>
      <c r="CN476" s="4">
        <v>246.05609523897718</v>
      </c>
      <c r="CO476" s="4" t="s">
        <v>1</v>
      </c>
      <c r="CP476" s="4" t="s">
        <v>1</v>
      </c>
      <c r="CQ476" s="4" t="s">
        <v>1</v>
      </c>
      <c r="CR476" s="4" t="s">
        <v>1</v>
      </c>
      <c r="CS476" s="4" t="s">
        <v>1</v>
      </c>
      <c r="CT476" s="4" t="s">
        <v>1</v>
      </c>
      <c r="CU476" s="4" t="s">
        <v>1</v>
      </c>
      <c r="CV476" t="s">
        <v>855</v>
      </c>
      <c r="CW476">
        <v>100</v>
      </c>
      <c r="CX476">
        <v>0</v>
      </c>
      <c r="CY476">
        <v>30</v>
      </c>
      <c r="CZ476" s="26" t="s">
        <v>1358</v>
      </c>
      <c r="DA476" t="s">
        <v>734</v>
      </c>
      <c r="DB476">
        <v>59</v>
      </c>
      <c r="DC476">
        <v>0</v>
      </c>
      <c r="DD476">
        <v>30</v>
      </c>
      <c r="DE476" s="26" t="s">
        <v>1358</v>
      </c>
      <c r="DF476" t="s">
        <v>735</v>
      </c>
      <c r="DG476">
        <v>29</v>
      </c>
      <c r="DH476">
        <v>0</v>
      </c>
      <c r="DI476">
        <v>30</v>
      </c>
      <c r="DJ476" s="26" t="s">
        <v>1358</v>
      </c>
      <c r="DK476" t="s">
        <v>736</v>
      </c>
      <c r="DL476">
        <v>12</v>
      </c>
      <c r="DM476">
        <v>0</v>
      </c>
      <c r="DN476">
        <v>30</v>
      </c>
      <c r="DO476" s="26" t="s">
        <v>1358</v>
      </c>
      <c r="DP476" t="s">
        <v>6</v>
      </c>
      <c r="DQ476" t="s">
        <v>1</v>
      </c>
      <c r="DR476">
        <v>6.7</v>
      </c>
      <c r="DS476">
        <v>0</v>
      </c>
      <c r="DT476">
        <v>30</v>
      </c>
      <c r="DU476" s="26" t="s">
        <v>1358</v>
      </c>
      <c r="EA476" t="s">
        <v>982</v>
      </c>
      <c r="EB476">
        <v>1.3</v>
      </c>
      <c r="EC476">
        <v>0</v>
      </c>
      <c r="ED476">
        <v>30</v>
      </c>
      <c r="EE476" s="26" t="s">
        <v>1358</v>
      </c>
      <c r="EF476" s="26"/>
      <c r="FZ476" t="s">
        <v>806</v>
      </c>
      <c r="GA476">
        <v>823.5</v>
      </c>
      <c r="GE476" s="26" t="s">
        <v>1358</v>
      </c>
      <c r="HA476" s="5" t="s">
        <v>1</v>
      </c>
      <c r="HB476" s="4" t="s">
        <v>1</v>
      </c>
      <c r="HC476" t="s">
        <v>1</v>
      </c>
      <c r="HD476" t="s">
        <v>1</v>
      </c>
      <c r="HE476" t="s">
        <v>1</v>
      </c>
      <c r="HF476" s="5" t="s">
        <v>1063</v>
      </c>
      <c r="HG476" s="4">
        <v>0.11</v>
      </c>
      <c r="HH476">
        <v>0</v>
      </c>
      <c r="HI476">
        <v>30</v>
      </c>
      <c r="HJ476" s="26" t="s">
        <v>1358</v>
      </c>
      <c r="HK476" t="s">
        <v>1</v>
      </c>
      <c r="HL476" t="s">
        <v>1</v>
      </c>
      <c r="HM476" t="s">
        <v>1</v>
      </c>
      <c r="HN476" t="s">
        <v>1</v>
      </c>
      <c r="HO476" t="s">
        <v>1</v>
      </c>
      <c r="HP476" t="s">
        <v>1</v>
      </c>
      <c r="HZ476" t="s">
        <v>968</v>
      </c>
      <c r="IA476">
        <v>360</v>
      </c>
      <c r="IB476" s="10" t="s">
        <v>1</v>
      </c>
      <c r="IC476" s="10"/>
      <c r="ID476" s="10"/>
      <c r="IE476" s="10" t="s">
        <v>1</v>
      </c>
      <c r="IF476" s="10" t="s">
        <v>1</v>
      </c>
      <c r="IG476" s="10"/>
      <c r="IH476" s="10"/>
      <c r="II476" s="10"/>
      <c r="IJ476" s="10"/>
      <c r="IK476" s="10"/>
      <c r="IL476" s="10"/>
      <c r="IM476" s="10"/>
      <c r="IN476" s="10"/>
      <c r="IO476" s="10"/>
      <c r="IP476" s="10"/>
      <c r="IQ476" s="10"/>
      <c r="IR476" s="10"/>
      <c r="IS476" t="s">
        <v>1</v>
      </c>
      <c r="IT476" t="s">
        <v>1</v>
      </c>
      <c r="IW476" t="s">
        <v>1</v>
      </c>
      <c r="IX476" t="s">
        <v>1</v>
      </c>
      <c r="IY476" t="s">
        <v>1</v>
      </c>
      <c r="IZ476" t="s">
        <v>1</v>
      </c>
      <c r="JA476" t="s">
        <v>1</v>
      </c>
      <c r="JB476" s="3" t="s">
        <v>1</v>
      </c>
      <c r="JC476" t="s">
        <v>1</v>
      </c>
      <c r="JD476" s="4" t="s">
        <v>1</v>
      </c>
      <c r="JE476" t="s">
        <v>1</v>
      </c>
      <c r="JF476" t="s">
        <v>1</v>
      </c>
      <c r="JR476" t="s">
        <v>1066</v>
      </c>
      <c r="JS476">
        <v>920.2</v>
      </c>
      <c r="JU476" t="s">
        <v>1</v>
      </c>
      <c r="JW476" t="s">
        <v>842</v>
      </c>
      <c r="JX476">
        <v>0</v>
      </c>
      <c r="JY476">
        <v>60</v>
      </c>
      <c r="JZ476" t="s">
        <v>800</v>
      </c>
      <c r="KA476" t="s">
        <v>544</v>
      </c>
      <c r="KB476" t="s">
        <v>738</v>
      </c>
      <c r="KC476" t="s">
        <v>1067</v>
      </c>
      <c r="KD476" s="1">
        <f>0.1/5.9*JS476</f>
        <v>15.596610169491527</v>
      </c>
      <c r="KE476" s="11" t="s">
        <v>1</v>
      </c>
      <c r="KF476" s="11" t="s">
        <v>1</v>
      </c>
      <c r="KG476">
        <v>0</v>
      </c>
      <c r="KH476">
        <v>60</v>
      </c>
      <c r="KI476" t="s">
        <v>800</v>
      </c>
      <c r="KJ476" t="s">
        <v>544</v>
      </c>
      <c r="KK476" t="s">
        <v>738</v>
      </c>
    </row>
    <row r="477" spans="1:297" x14ac:dyDescent="0.2">
      <c r="A477">
        <v>445</v>
      </c>
      <c r="B477" t="s">
        <v>705</v>
      </c>
      <c r="C477" t="s">
        <v>548</v>
      </c>
      <c r="D477" t="s">
        <v>541</v>
      </c>
      <c r="E477">
        <v>76</v>
      </c>
      <c r="F477" t="s">
        <v>542</v>
      </c>
      <c r="G477" t="s">
        <v>1</v>
      </c>
      <c r="H477" s="26" t="s">
        <v>1420</v>
      </c>
      <c r="I477" t="s">
        <v>1</v>
      </c>
      <c r="J477" t="s">
        <v>1</v>
      </c>
      <c r="K477" t="s">
        <v>1</v>
      </c>
      <c r="L477" t="s">
        <v>1</v>
      </c>
      <c r="M477" t="s">
        <v>1</v>
      </c>
      <c r="N477" t="s">
        <v>1</v>
      </c>
      <c r="O477" t="s">
        <v>1</v>
      </c>
      <c r="P477" t="s">
        <v>1</v>
      </c>
      <c r="Q477" t="s">
        <v>1</v>
      </c>
      <c r="R477" t="s">
        <v>1</v>
      </c>
      <c r="S477" t="s">
        <v>1</v>
      </c>
      <c r="T477" t="s">
        <v>1</v>
      </c>
      <c r="U477" t="s">
        <v>1</v>
      </c>
      <c r="V477" t="s">
        <v>1</v>
      </c>
      <c r="W477" t="s">
        <v>1</v>
      </c>
      <c r="X477" t="s">
        <v>1</v>
      </c>
      <c r="Y477" t="s">
        <v>1</v>
      </c>
      <c r="Z477" t="s">
        <v>1</v>
      </c>
      <c r="AA477" t="s">
        <v>1</v>
      </c>
      <c r="AB477" t="s">
        <v>1</v>
      </c>
      <c r="AC477" t="s">
        <v>1</v>
      </c>
      <c r="AD477" t="s">
        <v>1</v>
      </c>
      <c r="AE477" t="s">
        <v>1</v>
      </c>
      <c r="AF477" t="s">
        <v>1</v>
      </c>
      <c r="AG477" t="s">
        <v>1</v>
      </c>
      <c r="AH477" t="s">
        <v>1</v>
      </c>
      <c r="AI477" t="s">
        <v>1</v>
      </c>
      <c r="AJ477" t="s">
        <v>1</v>
      </c>
      <c r="AK477" t="s">
        <v>1</v>
      </c>
      <c r="AL477" t="s">
        <v>1</v>
      </c>
      <c r="AM477" t="s">
        <v>1</v>
      </c>
      <c r="AN477">
        <v>445</v>
      </c>
      <c r="AO477">
        <f t="shared" si="59"/>
        <v>445</v>
      </c>
      <c r="AP477">
        <f t="shared" si="62"/>
        <v>76</v>
      </c>
      <c r="AQ477">
        <f t="shared" si="61"/>
        <v>76</v>
      </c>
      <c r="AR477" s="26" t="s">
        <v>1355</v>
      </c>
      <c r="AS477" s="26" t="s">
        <v>1356</v>
      </c>
      <c r="AT477" t="s">
        <v>716</v>
      </c>
      <c r="AU477" t="s">
        <v>1</v>
      </c>
      <c r="AV477" t="s">
        <v>1</v>
      </c>
      <c r="AW477">
        <v>54.32</v>
      </c>
      <c r="AX477">
        <v>9.98</v>
      </c>
      <c r="AY477" t="s">
        <v>737</v>
      </c>
      <c r="BA477" s="3">
        <v>4</v>
      </c>
      <c r="BB477" s="3"/>
      <c r="BC477" s="3"/>
      <c r="BD477" s="3"/>
      <c r="BE477" s="3"/>
      <c r="BF477">
        <v>2009</v>
      </c>
      <c r="BG477" s="24" t="s">
        <v>733</v>
      </c>
      <c r="BH477" s="24" t="s">
        <v>733</v>
      </c>
      <c r="BI477" s="24" t="s">
        <v>733</v>
      </c>
      <c r="BJ477" s="24" t="s">
        <v>732</v>
      </c>
      <c r="BK477" s="24" t="s">
        <v>733</v>
      </c>
      <c r="BL477" s="25" t="s">
        <v>733</v>
      </c>
      <c r="BM477" s="24" t="s">
        <v>733</v>
      </c>
      <c r="BN477" s="24" t="s">
        <v>732</v>
      </c>
      <c r="BO477" s="24" t="s">
        <v>733</v>
      </c>
      <c r="BP477" s="24" t="s">
        <v>733</v>
      </c>
      <c r="BQ477" s="24" t="s">
        <v>945</v>
      </c>
      <c r="BR477" s="24" t="s">
        <v>945</v>
      </c>
      <c r="BS477" s="25" t="s">
        <v>934</v>
      </c>
      <c r="BT477" s="24" t="s">
        <v>934</v>
      </c>
      <c r="BU477" s="24" t="s">
        <v>934</v>
      </c>
      <c r="BV477" s="24" t="s">
        <v>934</v>
      </c>
      <c r="BW477" s="24" t="s">
        <v>934</v>
      </c>
      <c r="BX477" s="24" t="s">
        <v>934</v>
      </c>
      <c r="BY477" s="25" t="s">
        <v>945</v>
      </c>
      <c r="BZ477" t="s">
        <v>5</v>
      </c>
      <c r="CB477" t="s">
        <v>1</v>
      </c>
      <c r="CC477" s="4" t="s">
        <v>1</v>
      </c>
      <c r="CD477" s="4"/>
      <c r="CE477" s="4"/>
      <c r="CF477" t="s">
        <v>1</v>
      </c>
      <c r="CG477" t="s">
        <v>1</v>
      </c>
      <c r="CH477" t="s">
        <v>805</v>
      </c>
      <c r="CI477" s="28">
        <v>1</v>
      </c>
      <c r="CJ477" s="9" t="s">
        <v>1</v>
      </c>
      <c r="CK477" s="9" t="s">
        <v>1</v>
      </c>
      <c r="CL477" s="4" t="s">
        <v>1</v>
      </c>
      <c r="CM477" t="s">
        <v>847</v>
      </c>
      <c r="CN477" s="4">
        <v>187.15432426682503</v>
      </c>
      <c r="CO477" s="4" t="s">
        <v>1</v>
      </c>
      <c r="CP477" s="4" t="s">
        <v>1</v>
      </c>
      <c r="CQ477" s="4" t="s">
        <v>1</v>
      </c>
      <c r="CR477" s="4" t="s">
        <v>1</v>
      </c>
      <c r="CS477" s="4" t="s">
        <v>1</v>
      </c>
      <c r="CT477" s="4" t="s">
        <v>1</v>
      </c>
      <c r="CU477" s="4" t="s">
        <v>1</v>
      </c>
      <c r="CV477" t="s">
        <v>855</v>
      </c>
      <c r="CW477">
        <v>100</v>
      </c>
      <c r="CX477">
        <v>0</v>
      </c>
      <c r="CY477">
        <v>30</v>
      </c>
      <c r="CZ477" s="26" t="s">
        <v>1358</v>
      </c>
      <c r="DA477" t="s">
        <v>734</v>
      </c>
      <c r="DB477">
        <v>59</v>
      </c>
      <c r="DC477">
        <v>0</v>
      </c>
      <c r="DD477">
        <v>30</v>
      </c>
      <c r="DE477" s="26" t="s">
        <v>1358</v>
      </c>
      <c r="DF477" t="s">
        <v>735</v>
      </c>
      <c r="DG477">
        <v>29</v>
      </c>
      <c r="DH477">
        <v>0</v>
      </c>
      <c r="DI477">
        <v>30</v>
      </c>
      <c r="DJ477" s="26" t="s">
        <v>1358</v>
      </c>
      <c r="DK477" t="s">
        <v>736</v>
      </c>
      <c r="DL477">
        <v>12</v>
      </c>
      <c r="DM477">
        <v>0</v>
      </c>
      <c r="DN477">
        <v>30</v>
      </c>
      <c r="DO477" s="26" t="s">
        <v>1358</v>
      </c>
      <c r="DP477" t="s">
        <v>6</v>
      </c>
      <c r="DQ477" t="s">
        <v>1</v>
      </c>
      <c r="DR477">
        <v>6.7</v>
      </c>
      <c r="DS477">
        <v>0</v>
      </c>
      <c r="DT477">
        <v>30</v>
      </c>
      <c r="DU477" s="26" t="s">
        <v>1358</v>
      </c>
      <c r="EA477" t="s">
        <v>982</v>
      </c>
      <c r="EB477">
        <v>1.3</v>
      </c>
      <c r="EC477">
        <v>0</v>
      </c>
      <c r="ED477">
        <v>30</v>
      </c>
      <c r="EE477" s="26" t="s">
        <v>1358</v>
      </c>
      <c r="EF477" s="26"/>
      <c r="FZ477" t="s">
        <v>806</v>
      </c>
      <c r="GA477">
        <v>823.5</v>
      </c>
      <c r="GE477" s="26" t="s">
        <v>1358</v>
      </c>
      <c r="HA477" s="5" t="s">
        <v>1</v>
      </c>
      <c r="HB477" s="4" t="s">
        <v>1</v>
      </c>
      <c r="HC477" t="s">
        <v>1</v>
      </c>
      <c r="HD477" t="s">
        <v>1</v>
      </c>
      <c r="HE477" t="s">
        <v>1</v>
      </c>
      <c r="HF477" s="5" t="s">
        <v>1063</v>
      </c>
      <c r="HG477" s="4">
        <v>0.11</v>
      </c>
      <c r="HH477">
        <v>0</v>
      </c>
      <c r="HI477">
        <v>30</v>
      </c>
      <c r="HJ477" s="26" t="s">
        <v>1358</v>
      </c>
      <c r="HK477" t="s">
        <v>1</v>
      </c>
      <c r="HL477" t="s">
        <v>1</v>
      </c>
      <c r="HM477" t="s">
        <v>1</v>
      </c>
      <c r="HN477" t="s">
        <v>1</v>
      </c>
      <c r="HO477" t="s">
        <v>1</v>
      </c>
      <c r="HP477" t="s">
        <v>1</v>
      </c>
      <c r="HZ477" t="s">
        <v>1</v>
      </c>
      <c r="IA477" t="s">
        <v>1</v>
      </c>
      <c r="IB477" s="10" t="s">
        <v>1</v>
      </c>
      <c r="IC477" s="10"/>
      <c r="ID477" s="10"/>
      <c r="IE477" s="10" t="s">
        <v>1</v>
      </c>
      <c r="IF477" s="10" t="s">
        <v>1</v>
      </c>
      <c r="IG477" s="10"/>
      <c r="IH477" s="10"/>
      <c r="II477" s="10"/>
      <c r="IJ477" s="10"/>
      <c r="IK477" s="10"/>
      <c r="IL477" s="10"/>
      <c r="IM477" s="10"/>
      <c r="IN477" s="10"/>
      <c r="IO477" s="10"/>
      <c r="IP477" s="10"/>
      <c r="IQ477" s="10"/>
      <c r="IR477" s="10"/>
      <c r="IS477" t="s">
        <v>1</v>
      </c>
      <c r="IT477" t="s">
        <v>1</v>
      </c>
      <c r="IW477" t="s">
        <v>979</v>
      </c>
      <c r="IX477">
        <v>120</v>
      </c>
      <c r="IY477" t="s">
        <v>1</v>
      </c>
      <c r="IZ477" t="s">
        <v>1</v>
      </c>
      <c r="JA477" t="s">
        <v>1</v>
      </c>
      <c r="JB477" s="3" t="s">
        <v>1</v>
      </c>
      <c r="JC477" t="s">
        <v>1</v>
      </c>
      <c r="JD477" s="4" t="s">
        <v>1</v>
      </c>
      <c r="JE477" t="s">
        <v>1</v>
      </c>
      <c r="JF477" t="s">
        <v>1</v>
      </c>
      <c r="JR477" t="s">
        <v>1066</v>
      </c>
      <c r="JS477">
        <v>115.8</v>
      </c>
      <c r="JU477" t="s">
        <v>1</v>
      </c>
      <c r="JW477" t="s">
        <v>842</v>
      </c>
      <c r="JX477">
        <v>0</v>
      </c>
      <c r="JY477">
        <v>60</v>
      </c>
      <c r="JZ477" t="s">
        <v>800</v>
      </c>
      <c r="KA477" t="s">
        <v>544</v>
      </c>
      <c r="KB477" t="s">
        <v>738</v>
      </c>
      <c r="KC477" t="s">
        <v>1067</v>
      </c>
      <c r="KD477" s="1">
        <v>0</v>
      </c>
      <c r="KE477" s="11" t="s">
        <v>1</v>
      </c>
      <c r="KF477" s="11" t="s">
        <v>1</v>
      </c>
      <c r="KG477">
        <v>0</v>
      </c>
      <c r="KH477">
        <v>60</v>
      </c>
      <c r="KI477" t="s">
        <v>800</v>
      </c>
      <c r="KJ477" t="s">
        <v>544</v>
      </c>
      <c r="KK477" t="s">
        <v>738</v>
      </c>
    </row>
    <row r="478" spans="1:297" x14ac:dyDescent="0.2">
      <c r="A478">
        <v>446</v>
      </c>
      <c r="B478" t="s">
        <v>705</v>
      </c>
      <c r="C478" t="s">
        <v>549</v>
      </c>
      <c r="D478" t="s">
        <v>541</v>
      </c>
      <c r="E478">
        <v>76</v>
      </c>
      <c r="F478" t="s">
        <v>542</v>
      </c>
      <c r="G478" t="s">
        <v>1</v>
      </c>
      <c r="H478" s="26" t="s">
        <v>1420</v>
      </c>
      <c r="I478" t="s">
        <v>1</v>
      </c>
      <c r="J478" t="s">
        <v>1</v>
      </c>
      <c r="K478" t="s">
        <v>1</v>
      </c>
      <c r="L478" t="s">
        <v>1</v>
      </c>
      <c r="M478" t="s">
        <v>1</v>
      </c>
      <c r="N478" t="s">
        <v>1</v>
      </c>
      <c r="O478" t="s">
        <v>1</v>
      </c>
      <c r="P478" t="s">
        <v>1</v>
      </c>
      <c r="Q478" t="s">
        <v>1</v>
      </c>
      <c r="R478" t="s">
        <v>1</v>
      </c>
      <c r="S478" t="s">
        <v>1</v>
      </c>
      <c r="T478" t="s">
        <v>1</v>
      </c>
      <c r="U478" t="s">
        <v>1</v>
      </c>
      <c r="V478" t="s">
        <v>1</v>
      </c>
      <c r="W478" t="s">
        <v>1</v>
      </c>
      <c r="X478" t="s">
        <v>1</v>
      </c>
      <c r="Y478" t="s">
        <v>1</v>
      </c>
      <c r="Z478" t="s">
        <v>1</v>
      </c>
      <c r="AA478" t="s">
        <v>1</v>
      </c>
      <c r="AB478" t="s">
        <v>1</v>
      </c>
      <c r="AC478" t="s">
        <v>1</v>
      </c>
      <c r="AD478" t="s">
        <v>1</v>
      </c>
      <c r="AE478" t="s">
        <v>1</v>
      </c>
      <c r="AF478" t="s">
        <v>1</v>
      </c>
      <c r="AG478" t="s">
        <v>1</v>
      </c>
      <c r="AH478" t="s">
        <v>1</v>
      </c>
      <c r="AI478" t="s">
        <v>1</v>
      </c>
      <c r="AJ478" t="s">
        <v>1</v>
      </c>
      <c r="AK478" t="s">
        <v>1</v>
      </c>
      <c r="AL478" t="s">
        <v>1</v>
      </c>
      <c r="AM478" t="s">
        <v>1</v>
      </c>
      <c r="AN478">
        <v>446</v>
      </c>
      <c r="AO478">
        <f t="shared" si="59"/>
        <v>446</v>
      </c>
      <c r="AP478">
        <f t="shared" si="62"/>
        <v>76</v>
      </c>
      <c r="AQ478">
        <f t="shared" si="61"/>
        <v>76</v>
      </c>
      <c r="AR478" s="26" t="s">
        <v>1355</v>
      </c>
      <c r="AS478" s="26" t="s">
        <v>1356</v>
      </c>
      <c r="AT478" t="s">
        <v>716</v>
      </c>
      <c r="AU478" t="s">
        <v>1</v>
      </c>
      <c r="AV478" t="s">
        <v>1</v>
      </c>
      <c r="AW478">
        <v>54.32</v>
      </c>
      <c r="AX478">
        <v>9.98</v>
      </c>
      <c r="AY478" t="s">
        <v>737</v>
      </c>
      <c r="BA478" s="3">
        <v>4</v>
      </c>
      <c r="BB478" s="3"/>
      <c r="BC478" s="3"/>
      <c r="BD478" s="3"/>
      <c r="BE478" s="3"/>
      <c r="BF478">
        <v>2009</v>
      </c>
      <c r="BG478" s="24" t="s">
        <v>733</v>
      </c>
      <c r="BH478" s="24" t="s">
        <v>733</v>
      </c>
      <c r="BI478" s="24" t="s">
        <v>733</v>
      </c>
      <c r="BJ478" s="24" t="s">
        <v>732</v>
      </c>
      <c r="BK478" s="24" t="s">
        <v>733</v>
      </c>
      <c r="BL478" s="25" t="s">
        <v>733</v>
      </c>
      <c r="BM478" s="24" t="s">
        <v>733</v>
      </c>
      <c r="BN478" s="24" t="s">
        <v>732</v>
      </c>
      <c r="BO478" s="24" t="s">
        <v>733</v>
      </c>
      <c r="BP478" s="24" t="s">
        <v>733</v>
      </c>
      <c r="BQ478" s="24" t="s">
        <v>945</v>
      </c>
      <c r="BR478" s="24" t="s">
        <v>945</v>
      </c>
      <c r="BS478" s="25" t="s">
        <v>934</v>
      </c>
      <c r="BT478" s="24" t="s">
        <v>934</v>
      </c>
      <c r="BU478" s="24" t="s">
        <v>934</v>
      </c>
      <c r="BV478" s="24" t="s">
        <v>934</v>
      </c>
      <c r="BW478" s="24" t="s">
        <v>934</v>
      </c>
      <c r="BX478" s="24" t="s">
        <v>934</v>
      </c>
      <c r="BY478" s="25" t="s">
        <v>945</v>
      </c>
      <c r="BZ478" t="s">
        <v>5</v>
      </c>
      <c r="CB478" t="s">
        <v>1</v>
      </c>
      <c r="CC478" s="4" t="s">
        <v>1</v>
      </c>
      <c r="CD478" s="4"/>
      <c r="CE478" s="4"/>
      <c r="CF478" t="s">
        <v>1</v>
      </c>
      <c r="CG478" t="s">
        <v>1</v>
      </c>
      <c r="CH478" t="s">
        <v>805</v>
      </c>
      <c r="CI478" s="28">
        <v>1</v>
      </c>
      <c r="CJ478" s="9" t="s">
        <v>1</v>
      </c>
      <c r="CK478" s="9" t="s">
        <v>1</v>
      </c>
      <c r="CL478" s="4" t="s">
        <v>1</v>
      </c>
      <c r="CM478" t="s">
        <v>847</v>
      </c>
      <c r="CN478" s="4">
        <v>218.64109362157953</v>
      </c>
      <c r="CO478" s="4" t="s">
        <v>1</v>
      </c>
      <c r="CP478" s="4" t="s">
        <v>1</v>
      </c>
      <c r="CQ478" s="4" t="s">
        <v>1</v>
      </c>
      <c r="CR478" s="4" t="s">
        <v>1</v>
      </c>
      <c r="CS478" s="4" t="s">
        <v>1</v>
      </c>
      <c r="CT478" s="4" t="s">
        <v>1</v>
      </c>
      <c r="CU478" s="4" t="s">
        <v>1</v>
      </c>
      <c r="CV478" t="s">
        <v>855</v>
      </c>
      <c r="CW478">
        <v>100</v>
      </c>
      <c r="CX478">
        <v>0</v>
      </c>
      <c r="CY478">
        <v>30</v>
      </c>
      <c r="CZ478" s="26" t="s">
        <v>1358</v>
      </c>
      <c r="DA478" t="s">
        <v>734</v>
      </c>
      <c r="DB478">
        <v>59</v>
      </c>
      <c r="DC478">
        <v>0</v>
      </c>
      <c r="DD478">
        <v>30</v>
      </c>
      <c r="DE478" s="26" t="s">
        <v>1358</v>
      </c>
      <c r="DF478" t="s">
        <v>735</v>
      </c>
      <c r="DG478">
        <v>29</v>
      </c>
      <c r="DH478">
        <v>0</v>
      </c>
      <c r="DI478">
        <v>30</v>
      </c>
      <c r="DJ478" s="26" t="s">
        <v>1358</v>
      </c>
      <c r="DK478" t="s">
        <v>736</v>
      </c>
      <c r="DL478">
        <v>12</v>
      </c>
      <c r="DM478">
        <v>0</v>
      </c>
      <c r="DN478">
        <v>30</v>
      </c>
      <c r="DO478" s="26" t="s">
        <v>1358</v>
      </c>
      <c r="DP478" t="s">
        <v>6</v>
      </c>
      <c r="DQ478" t="s">
        <v>1</v>
      </c>
      <c r="DR478">
        <v>6.7</v>
      </c>
      <c r="DS478">
        <v>0</v>
      </c>
      <c r="DT478">
        <v>30</v>
      </c>
      <c r="DU478" s="26" t="s">
        <v>1358</v>
      </c>
      <c r="EA478" t="s">
        <v>982</v>
      </c>
      <c r="EB478">
        <v>1.3</v>
      </c>
      <c r="EC478">
        <v>0</v>
      </c>
      <c r="ED478">
        <v>30</v>
      </c>
      <c r="EE478" s="26" t="s">
        <v>1358</v>
      </c>
      <c r="EF478" s="26"/>
      <c r="FZ478" t="s">
        <v>806</v>
      </c>
      <c r="GA478">
        <v>823.5</v>
      </c>
      <c r="GE478" s="26" t="s">
        <v>1358</v>
      </c>
      <c r="HA478" s="5" t="s">
        <v>1</v>
      </c>
      <c r="HB478" s="4" t="s">
        <v>1</v>
      </c>
      <c r="HC478" t="s">
        <v>1</v>
      </c>
      <c r="HD478" t="s">
        <v>1</v>
      </c>
      <c r="HE478" t="s">
        <v>1</v>
      </c>
      <c r="HF478" s="5" t="s">
        <v>1063</v>
      </c>
      <c r="HG478" s="4">
        <v>0.11</v>
      </c>
      <c r="HH478">
        <v>0</v>
      </c>
      <c r="HI478">
        <v>30</v>
      </c>
      <c r="HJ478" s="26" t="s">
        <v>1358</v>
      </c>
      <c r="HK478" t="s">
        <v>1</v>
      </c>
      <c r="HL478" t="s">
        <v>1</v>
      </c>
      <c r="HM478" t="s">
        <v>1</v>
      </c>
      <c r="HN478" t="s">
        <v>1</v>
      </c>
      <c r="HO478" t="s">
        <v>1</v>
      </c>
      <c r="HP478" t="s">
        <v>1</v>
      </c>
      <c r="HZ478" t="s">
        <v>1</v>
      </c>
      <c r="IA478" t="s">
        <v>1</v>
      </c>
      <c r="IB478" s="10" t="s">
        <v>1</v>
      </c>
      <c r="IC478" s="10"/>
      <c r="ID478" s="10"/>
      <c r="IE478" s="10" t="s">
        <v>1</v>
      </c>
      <c r="IF478" s="10" t="s">
        <v>1</v>
      </c>
      <c r="IG478" s="10"/>
      <c r="IH478" s="10"/>
      <c r="II478" s="10"/>
      <c r="IJ478" s="10"/>
      <c r="IK478" s="10"/>
      <c r="IL478" s="10"/>
      <c r="IM478" s="10"/>
      <c r="IN478" s="10"/>
      <c r="IO478" s="10"/>
      <c r="IP478" s="10"/>
      <c r="IQ478" s="10"/>
      <c r="IR478" s="10"/>
      <c r="IS478" t="s">
        <v>1</v>
      </c>
      <c r="IT478" t="s">
        <v>1</v>
      </c>
      <c r="IW478" t="s">
        <v>979</v>
      </c>
      <c r="IX478">
        <v>240</v>
      </c>
      <c r="IY478" t="s">
        <v>1</v>
      </c>
      <c r="IZ478" t="s">
        <v>1</v>
      </c>
      <c r="JA478" t="s">
        <v>1</v>
      </c>
      <c r="JB478" s="3" t="s">
        <v>1</v>
      </c>
      <c r="JC478" t="s">
        <v>1</v>
      </c>
      <c r="JD478" s="4" t="s">
        <v>1</v>
      </c>
      <c r="JE478" t="s">
        <v>1</v>
      </c>
      <c r="JF478" t="s">
        <v>1</v>
      </c>
      <c r="JR478" t="s">
        <v>1066</v>
      </c>
      <c r="JS478">
        <v>259.2</v>
      </c>
      <c r="JU478" t="s">
        <v>1</v>
      </c>
      <c r="JW478" t="s">
        <v>842</v>
      </c>
      <c r="JX478">
        <v>0</v>
      </c>
      <c r="JY478">
        <v>60</v>
      </c>
      <c r="JZ478" t="s">
        <v>800</v>
      </c>
      <c r="KA478" t="s">
        <v>544</v>
      </c>
      <c r="KB478" t="s">
        <v>738</v>
      </c>
      <c r="KC478" t="s">
        <v>1067</v>
      </c>
      <c r="KD478" s="1">
        <v>0</v>
      </c>
      <c r="KE478" s="11" t="s">
        <v>1</v>
      </c>
      <c r="KF478" s="11" t="s">
        <v>1</v>
      </c>
      <c r="KG478">
        <v>0</v>
      </c>
      <c r="KH478">
        <v>60</v>
      </c>
      <c r="KI478" t="s">
        <v>800</v>
      </c>
      <c r="KJ478" t="s">
        <v>544</v>
      </c>
      <c r="KK478" t="s">
        <v>738</v>
      </c>
    </row>
    <row r="479" spans="1:297" x14ac:dyDescent="0.2">
      <c r="A479">
        <v>447</v>
      </c>
      <c r="B479" t="s">
        <v>705</v>
      </c>
      <c r="C479" t="s">
        <v>550</v>
      </c>
      <c r="D479" t="s">
        <v>541</v>
      </c>
      <c r="E479">
        <v>76</v>
      </c>
      <c r="F479" t="s">
        <v>542</v>
      </c>
      <c r="G479" t="s">
        <v>1</v>
      </c>
      <c r="H479" s="26" t="s">
        <v>1420</v>
      </c>
      <c r="I479" t="s">
        <v>1</v>
      </c>
      <c r="J479" t="s">
        <v>1</v>
      </c>
      <c r="K479" t="s">
        <v>1</v>
      </c>
      <c r="L479" t="s">
        <v>1</v>
      </c>
      <c r="M479" t="s">
        <v>1</v>
      </c>
      <c r="N479" t="s">
        <v>1</v>
      </c>
      <c r="O479" t="s">
        <v>1</v>
      </c>
      <c r="P479" t="s">
        <v>1</v>
      </c>
      <c r="Q479" t="s">
        <v>1</v>
      </c>
      <c r="R479" t="s">
        <v>1</v>
      </c>
      <c r="S479" t="s">
        <v>1</v>
      </c>
      <c r="T479" t="s">
        <v>1</v>
      </c>
      <c r="U479" t="s">
        <v>1</v>
      </c>
      <c r="V479" t="s">
        <v>1</v>
      </c>
      <c r="W479" t="s">
        <v>1</v>
      </c>
      <c r="X479" t="s">
        <v>1</v>
      </c>
      <c r="Y479" t="s">
        <v>1</v>
      </c>
      <c r="Z479" t="s">
        <v>1</v>
      </c>
      <c r="AA479" t="s">
        <v>1</v>
      </c>
      <c r="AB479" t="s">
        <v>1</v>
      </c>
      <c r="AC479" t="s">
        <v>1</v>
      </c>
      <c r="AD479" t="s">
        <v>1</v>
      </c>
      <c r="AE479" t="s">
        <v>1</v>
      </c>
      <c r="AF479" t="s">
        <v>1</v>
      </c>
      <c r="AG479" t="s">
        <v>1</v>
      </c>
      <c r="AH479" t="s">
        <v>1</v>
      </c>
      <c r="AI479" t="s">
        <v>1</v>
      </c>
      <c r="AJ479" t="s">
        <v>1</v>
      </c>
      <c r="AK479" t="s">
        <v>1</v>
      </c>
      <c r="AL479" t="s">
        <v>1</v>
      </c>
      <c r="AM479" t="s">
        <v>1</v>
      </c>
      <c r="AN479">
        <v>447</v>
      </c>
      <c r="AO479">
        <f t="shared" si="59"/>
        <v>447</v>
      </c>
      <c r="AP479">
        <f t="shared" si="62"/>
        <v>76</v>
      </c>
      <c r="AQ479">
        <f t="shared" ref="AQ479:AQ510" si="63">E479</f>
        <v>76</v>
      </c>
      <c r="AR479" s="26" t="s">
        <v>1355</v>
      </c>
      <c r="AS479" s="26" t="s">
        <v>1356</v>
      </c>
      <c r="AT479" t="s">
        <v>716</v>
      </c>
      <c r="AU479" t="s">
        <v>1</v>
      </c>
      <c r="AV479" t="s">
        <v>1</v>
      </c>
      <c r="AW479">
        <v>54.32</v>
      </c>
      <c r="AX479">
        <v>9.98</v>
      </c>
      <c r="AY479" t="s">
        <v>737</v>
      </c>
      <c r="BA479" s="3">
        <v>4</v>
      </c>
      <c r="BB479" s="3"/>
      <c r="BC479" s="3"/>
      <c r="BD479" s="3"/>
      <c r="BE479" s="3"/>
      <c r="BF479">
        <v>2009</v>
      </c>
      <c r="BG479" s="24" t="s">
        <v>733</v>
      </c>
      <c r="BH479" s="24" t="s">
        <v>733</v>
      </c>
      <c r="BI479" s="24" t="s">
        <v>733</v>
      </c>
      <c r="BJ479" s="24" t="s">
        <v>732</v>
      </c>
      <c r="BK479" s="24" t="s">
        <v>733</v>
      </c>
      <c r="BL479" s="25" t="s">
        <v>733</v>
      </c>
      <c r="BM479" s="24" t="s">
        <v>733</v>
      </c>
      <c r="BN479" s="24" t="s">
        <v>732</v>
      </c>
      <c r="BO479" s="24" t="s">
        <v>733</v>
      </c>
      <c r="BP479" s="24" t="s">
        <v>733</v>
      </c>
      <c r="BQ479" s="24" t="s">
        <v>945</v>
      </c>
      <c r="BR479" s="24" t="s">
        <v>945</v>
      </c>
      <c r="BS479" s="25" t="s">
        <v>934</v>
      </c>
      <c r="BT479" s="24" t="s">
        <v>934</v>
      </c>
      <c r="BU479" s="24" t="s">
        <v>934</v>
      </c>
      <c r="BV479" s="24" t="s">
        <v>934</v>
      </c>
      <c r="BW479" s="24" t="s">
        <v>934</v>
      </c>
      <c r="BX479" s="24" t="s">
        <v>934</v>
      </c>
      <c r="BY479" s="25" t="s">
        <v>945</v>
      </c>
      <c r="BZ479" t="s">
        <v>5</v>
      </c>
      <c r="CB479" t="s">
        <v>1</v>
      </c>
      <c r="CC479" s="4" t="s">
        <v>1</v>
      </c>
      <c r="CD479" s="4"/>
      <c r="CE479" s="4"/>
      <c r="CF479" t="s">
        <v>1</v>
      </c>
      <c r="CG479" t="s">
        <v>1</v>
      </c>
      <c r="CH479" t="s">
        <v>805</v>
      </c>
      <c r="CI479" s="28">
        <v>1</v>
      </c>
      <c r="CJ479" s="9" t="s">
        <v>1</v>
      </c>
      <c r="CK479" s="9" t="s">
        <v>1</v>
      </c>
      <c r="CL479" s="4" t="s">
        <v>1</v>
      </c>
      <c r="CM479" t="s">
        <v>847</v>
      </c>
      <c r="CN479" s="4">
        <v>248.11034097600071</v>
      </c>
      <c r="CO479" s="4" t="s">
        <v>1</v>
      </c>
      <c r="CP479" s="4" t="s">
        <v>1</v>
      </c>
      <c r="CQ479" s="4" t="s">
        <v>1</v>
      </c>
      <c r="CR479" s="4" t="s">
        <v>1</v>
      </c>
      <c r="CS479" s="4" t="s">
        <v>1</v>
      </c>
      <c r="CT479" s="4" t="s">
        <v>1</v>
      </c>
      <c r="CU479" s="4" t="s">
        <v>1</v>
      </c>
      <c r="CV479" t="s">
        <v>855</v>
      </c>
      <c r="CW479">
        <v>100</v>
      </c>
      <c r="CX479">
        <v>0</v>
      </c>
      <c r="CY479">
        <v>30</v>
      </c>
      <c r="CZ479" s="26" t="s">
        <v>1358</v>
      </c>
      <c r="DA479" t="s">
        <v>734</v>
      </c>
      <c r="DB479">
        <v>59</v>
      </c>
      <c r="DC479">
        <v>0</v>
      </c>
      <c r="DD479">
        <v>30</v>
      </c>
      <c r="DE479" s="26" t="s">
        <v>1358</v>
      </c>
      <c r="DF479" t="s">
        <v>735</v>
      </c>
      <c r="DG479">
        <v>29</v>
      </c>
      <c r="DH479">
        <v>0</v>
      </c>
      <c r="DI479">
        <v>30</v>
      </c>
      <c r="DJ479" s="26" t="s">
        <v>1358</v>
      </c>
      <c r="DK479" t="s">
        <v>736</v>
      </c>
      <c r="DL479">
        <v>12</v>
      </c>
      <c r="DM479">
        <v>0</v>
      </c>
      <c r="DN479">
        <v>30</v>
      </c>
      <c r="DO479" s="26" t="s">
        <v>1358</v>
      </c>
      <c r="DP479" t="s">
        <v>6</v>
      </c>
      <c r="DQ479" t="s">
        <v>1</v>
      </c>
      <c r="DR479">
        <v>6.7</v>
      </c>
      <c r="DS479">
        <v>0</v>
      </c>
      <c r="DT479">
        <v>30</v>
      </c>
      <c r="DU479" s="26" t="s">
        <v>1358</v>
      </c>
      <c r="EA479" t="s">
        <v>982</v>
      </c>
      <c r="EB479">
        <v>1.3</v>
      </c>
      <c r="EC479">
        <v>0</v>
      </c>
      <c r="ED479">
        <v>30</v>
      </c>
      <c r="EE479" s="26" t="s">
        <v>1358</v>
      </c>
      <c r="EF479" s="26"/>
      <c r="FZ479" t="s">
        <v>806</v>
      </c>
      <c r="GA479">
        <v>823.5</v>
      </c>
      <c r="GE479" s="26" t="s">
        <v>1358</v>
      </c>
      <c r="HA479" s="5" t="s">
        <v>1</v>
      </c>
      <c r="HB479" s="4" t="s">
        <v>1</v>
      </c>
      <c r="HC479" t="s">
        <v>1</v>
      </c>
      <c r="HD479" t="s">
        <v>1</v>
      </c>
      <c r="HE479" t="s">
        <v>1</v>
      </c>
      <c r="HF479" s="5" t="s">
        <v>1063</v>
      </c>
      <c r="HG479" s="4">
        <v>0.11</v>
      </c>
      <c r="HH479">
        <v>0</v>
      </c>
      <c r="HI479">
        <v>30</v>
      </c>
      <c r="HJ479" s="26" t="s">
        <v>1358</v>
      </c>
      <c r="HK479" t="s">
        <v>1</v>
      </c>
      <c r="HL479" t="s">
        <v>1</v>
      </c>
      <c r="HM479" t="s">
        <v>1</v>
      </c>
      <c r="HN479" t="s">
        <v>1</v>
      </c>
      <c r="HO479" t="s">
        <v>1</v>
      </c>
      <c r="HP479" t="s">
        <v>1</v>
      </c>
      <c r="HZ479" t="s">
        <v>1</v>
      </c>
      <c r="IA479" t="s">
        <v>1</v>
      </c>
      <c r="IB479" s="10" t="s">
        <v>1</v>
      </c>
      <c r="IC479" s="10"/>
      <c r="ID479" s="10"/>
      <c r="IE479" s="10" t="s">
        <v>1</v>
      </c>
      <c r="IF479" s="10" t="s">
        <v>1</v>
      </c>
      <c r="IG479" s="10"/>
      <c r="IH479" s="10"/>
      <c r="II479" s="10"/>
      <c r="IJ479" s="10"/>
      <c r="IK479" s="10"/>
      <c r="IL479" s="10"/>
      <c r="IM479" s="10"/>
      <c r="IN479" s="10"/>
      <c r="IO479" s="10"/>
      <c r="IP479" s="10"/>
      <c r="IQ479" s="10"/>
      <c r="IR479" s="10"/>
      <c r="IS479" t="s">
        <v>1</v>
      </c>
      <c r="IT479" t="s">
        <v>1</v>
      </c>
      <c r="IW479" t="s">
        <v>979</v>
      </c>
      <c r="IX479">
        <v>360</v>
      </c>
      <c r="IY479" t="s">
        <v>1</v>
      </c>
      <c r="IZ479" t="s">
        <v>1</v>
      </c>
      <c r="JA479" t="s">
        <v>1</v>
      </c>
      <c r="JB479" s="3" t="s">
        <v>1</v>
      </c>
      <c r="JC479" t="s">
        <v>1</v>
      </c>
      <c r="JD479" s="4" t="s">
        <v>1</v>
      </c>
      <c r="JE479" t="s">
        <v>1</v>
      </c>
      <c r="JF479" t="s">
        <v>1</v>
      </c>
      <c r="JR479" t="s">
        <v>1066</v>
      </c>
      <c r="JS479">
        <v>453.1</v>
      </c>
      <c r="JU479" t="s">
        <v>1</v>
      </c>
      <c r="JW479" t="s">
        <v>842</v>
      </c>
      <c r="JX479">
        <v>0</v>
      </c>
      <c r="JY479">
        <v>60</v>
      </c>
      <c r="JZ479" t="s">
        <v>800</v>
      </c>
      <c r="KA479" t="s">
        <v>544</v>
      </c>
      <c r="KB479" t="s">
        <v>738</v>
      </c>
      <c r="KC479" t="s">
        <v>1067</v>
      </c>
      <c r="KD479" s="1">
        <f>0.1/5.9*JS479</f>
        <v>7.6796610169491526</v>
      </c>
      <c r="KE479" s="11" t="s">
        <v>1</v>
      </c>
      <c r="KF479" s="11" t="s">
        <v>1</v>
      </c>
      <c r="KG479">
        <v>0</v>
      </c>
      <c r="KH479">
        <v>60</v>
      </c>
      <c r="KI479" t="s">
        <v>800</v>
      </c>
      <c r="KJ479" t="s">
        <v>544</v>
      </c>
      <c r="KK479" t="s">
        <v>738</v>
      </c>
    </row>
    <row r="480" spans="1:297" x14ac:dyDescent="0.2">
      <c r="A480">
        <v>448</v>
      </c>
      <c r="B480" t="s">
        <v>705</v>
      </c>
      <c r="C480" t="s">
        <v>551</v>
      </c>
      <c r="D480" t="s">
        <v>541</v>
      </c>
      <c r="E480">
        <v>76</v>
      </c>
      <c r="F480" t="s">
        <v>542</v>
      </c>
      <c r="G480" t="s">
        <v>1</v>
      </c>
      <c r="H480" s="26" t="s">
        <v>1420</v>
      </c>
      <c r="I480" t="s">
        <v>1</v>
      </c>
      <c r="J480" t="s">
        <v>1</v>
      </c>
      <c r="K480" t="s">
        <v>1</v>
      </c>
      <c r="L480" t="s">
        <v>1</v>
      </c>
      <c r="M480" t="s">
        <v>1</v>
      </c>
      <c r="N480" t="s">
        <v>1</v>
      </c>
      <c r="O480" t="s">
        <v>1</v>
      </c>
      <c r="P480" t="s">
        <v>1</v>
      </c>
      <c r="Q480" t="s">
        <v>1</v>
      </c>
      <c r="R480" t="s">
        <v>1</v>
      </c>
      <c r="S480" t="s">
        <v>1</v>
      </c>
      <c r="T480" t="s">
        <v>1</v>
      </c>
      <c r="U480" t="s">
        <v>1</v>
      </c>
      <c r="V480" t="s">
        <v>1</v>
      </c>
      <c r="W480" t="s">
        <v>1</v>
      </c>
      <c r="X480" t="s">
        <v>1</v>
      </c>
      <c r="Y480" t="s">
        <v>1</v>
      </c>
      <c r="Z480" t="s">
        <v>1</v>
      </c>
      <c r="AA480" t="s">
        <v>1</v>
      </c>
      <c r="AB480" t="s">
        <v>1</v>
      </c>
      <c r="AC480" t="s">
        <v>1</v>
      </c>
      <c r="AD480" t="s">
        <v>1</v>
      </c>
      <c r="AE480" t="s">
        <v>1</v>
      </c>
      <c r="AF480" t="s">
        <v>1</v>
      </c>
      <c r="AG480" t="s">
        <v>1</v>
      </c>
      <c r="AH480" t="s">
        <v>1</v>
      </c>
      <c r="AI480" t="s">
        <v>1</v>
      </c>
      <c r="AJ480" t="s">
        <v>1</v>
      </c>
      <c r="AK480" t="s">
        <v>1</v>
      </c>
      <c r="AL480" t="s">
        <v>1</v>
      </c>
      <c r="AM480" t="s">
        <v>1</v>
      </c>
      <c r="AN480">
        <v>448</v>
      </c>
      <c r="AO480">
        <f t="shared" si="59"/>
        <v>448</v>
      </c>
      <c r="AP480">
        <f t="shared" si="62"/>
        <v>76</v>
      </c>
      <c r="AQ480">
        <f t="shared" si="63"/>
        <v>76</v>
      </c>
      <c r="AR480" s="26" t="s">
        <v>1355</v>
      </c>
      <c r="AS480" s="26" t="s">
        <v>1356</v>
      </c>
      <c r="AT480" t="s">
        <v>716</v>
      </c>
      <c r="AU480" t="s">
        <v>1</v>
      </c>
      <c r="AV480" t="s">
        <v>1</v>
      </c>
      <c r="AW480">
        <v>54.32</v>
      </c>
      <c r="AX480">
        <v>9.98</v>
      </c>
      <c r="AY480" t="s">
        <v>737</v>
      </c>
      <c r="BA480" s="3">
        <v>4</v>
      </c>
      <c r="BB480" s="3"/>
      <c r="BC480" s="3"/>
      <c r="BD480" s="3"/>
      <c r="BE480" s="3"/>
      <c r="BF480">
        <v>2009</v>
      </c>
      <c r="BG480" s="24" t="s">
        <v>733</v>
      </c>
      <c r="BH480" s="24" t="s">
        <v>733</v>
      </c>
      <c r="BI480" s="24" t="s">
        <v>733</v>
      </c>
      <c r="BJ480" s="24" t="s">
        <v>732</v>
      </c>
      <c r="BK480" s="24" t="s">
        <v>733</v>
      </c>
      <c r="BL480" s="25" t="s">
        <v>733</v>
      </c>
      <c r="BM480" s="24" t="s">
        <v>733</v>
      </c>
      <c r="BN480" s="24" t="s">
        <v>732</v>
      </c>
      <c r="BO480" s="24" t="s">
        <v>733</v>
      </c>
      <c r="BP480" s="24" t="s">
        <v>733</v>
      </c>
      <c r="BQ480" s="24" t="s">
        <v>945</v>
      </c>
      <c r="BR480" s="24" t="s">
        <v>945</v>
      </c>
      <c r="BS480" s="25" t="s">
        <v>934</v>
      </c>
      <c r="BT480" s="24" t="s">
        <v>934</v>
      </c>
      <c r="BU480" s="24" t="s">
        <v>934</v>
      </c>
      <c r="BV480" s="24" t="s">
        <v>934</v>
      </c>
      <c r="BW480" s="24" t="s">
        <v>934</v>
      </c>
      <c r="BX480" s="24" t="s">
        <v>934</v>
      </c>
      <c r="BY480" s="25" t="s">
        <v>945</v>
      </c>
      <c r="BZ480" t="s">
        <v>5</v>
      </c>
      <c r="CB480" t="s">
        <v>1</v>
      </c>
      <c r="CC480" s="4" t="s">
        <v>1</v>
      </c>
      <c r="CD480" s="4"/>
      <c r="CE480" s="4"/>
      <c r="CF480" t="s">
        <v>1</v>
      </c>
      <c r="CG480" t="s">
        <v>1</v>
      </c>
      <c r="CH480" t="s">
        <v>805</v>
      </c>
      <c r="CI480" s="28">
        <v>1</v>
      </c>
      <c r="CJ480" s="9" t="s">
        <v>1</v>
      </c>
      <c r="CK480" s="9" t="s">
        <v>1</v>
      </c>
      <c r="CL480" s="4" t="s">
        <v>1</v>
      </c>
      <c r="CM480" t="s">
        <v>847</v>
      </c>
      <c r="CN480" s="4">
        <v>194.01093865323404</v>
      </c>
      <c r="CO480" s="4" t="s">
        <v>1</v>
      </c>
      <c r="CP480" s="4" t="s">
        <v>1</v>
      </c>
      <c r="CQ480" s="4" t="s">
        <v>1</v>
      </c>
      <c r="CR480" s="4" t="s">
        <v>1</v>
      </c>
      <c r="CS480" s="4" t="s">
        <v>1</v>
      </c>
      <c r="CT480" s="4" t="s">
        <v>1</v>
      </c>
      <c r="CU480" s="4" t="s">
        <v>1</v>
      </c>
      <c r="CV480" t="s">
        <v>855</v>
      </c>
      <c r="CW480">
        <v>100</v>
      </c>
      <c r="CX480">
        <v>0</v>
      </c>
      <c r="CY480">
        <v>30</v>
      </c>
      <c r="CZ480" s="26" t="s">
        <v>1358</v>
      </c>
      <c r="DA480" t="s">
        <v>734</v>
      </c>
      <c r="DB480">
        <v>59</v>
      </c>
      <c r="DC480">
        <v>0</v>
      </c>
      <c r="DD480">
        <v>30</v>
      </c>
      <c r="DE480" s="26" t="s">
        <v>1358</v>
      </c>
      <c r="DF480" t="s">
        <v>735</v>
      </c>
      <c r="DG480">
        <v>29</v>
      </c>
      <c r="DH480">
        <v>0</v>
      </c>
      <c r="DI480">
        <v>30</v>
      </c>
      <c r="DJ480" s="26" t="s">
        <v>1358</v>
      </c>
      <c r="DK480" t="s">
        <v>736</v>
      </c>
      <c r="DL480">
        <v>12</v>
      </c>
      <c r="DM480">
        <v>0</v>
      </c>
      <c r="DN480">
        <v>30</v>
      </c>
      <c r="DO480" s="26" t="s">
        <v>1358</v>
      </c>
      <c r="DP480" t="s">
        <v>6</v>
      </c>
      <c r="DQ480" t="s">
        <v>1</v>
      </c>
      <c r="DR480">
        <v>6.7</v>
      </c>
      <c r="DS480">
        <v>0</v>
      </c>
      <c r="DT480">
        <v>30</v>
      </c>
      <c r="DU480" s="26" t="s">
        <v>1358</v>
      </c>
      <c r="EA480" t="s">
        <v>982</v>
      </c>
      <c r="EB480">
        <v>1.3</v>
      </c>
      <c r="EC480">
        <v>0</v>
      </c>
      <c r="ED480">
        <v>30</v>
      </c>
      <c r="EE480" s="26" t="s">
        <v>1358</v>
      </c>
      <c r="EF480" s="26"/>
      <c r="FZ480" t="s">
        <v>806</v>
      </c>
      <c r="GA480">
        <v>823.5</v>
      </c>
      <c r="GE480" s="26" t="s">
        <v>1358</v>
      </c>
      <c r="HA480" s="5" t="s">
        <v>1</v>
      </c>
      <c r="HB480" s="4" t="s">
        <v>1</v>
      </c>
      <c r="HC480" t="s">
        <v>1</v>
      </c>
      <c r="HD480" t="s">
        <v>1</v>
      </c>
      <c r="HE480" t="s">
        <v>1</v>
      </c>
      <c r="HF480" s="5" t="s">
        <v>1063</v>
      </c>
      <c r="HG480" s="4">
        <v>0.11</v>
      </c>
      <c r="HH480">
        <v>0</v>
      </c>
      <c r="HI480">
        <v>30</v>
      </c>
      <c r="HJ480" s="26" t="s">
        <v>1358</v>
      </c>
      <c r="HK480" t="s">
        <v>1</v>
      </c>
      <c r="HL480" t="s">
        <v>1</v>
      </c>
      <c r="HM480" t="s">
        <v>1</v>
      </c>
      <c r="HN480" t="s">
        <v>1</v>
      </c>
      <c r="HO480" t="s">
        <v>1</v>
      </c>
      <c r="HP480" t="s">
        <v>1</v>
      </c>
      <c r="HZ480" t="s">
        <v>1</v>
      </c>
      <c r="IA480" t="s">
        <v>1</v>
      </c>
      <c r="IB480" s="10" t="s">
        <v>1</v>
      </c>
      <c r="IC480" s="10"/>
      <c r="ID480" s="10"/>
      <c r="IE480" s="10" t="s">
        <v>1</v>
      </c>
      <c r="IF480" s="10" t="s">
        <v>1</v>
      </c>
      <c r="IG480" s="10"/>
      <c r="IH480" s="10"/>
      <c r="II480" s="10"/>
      <c r="IJ480" s="10"/>
      <c r="IK480" s="10"/>
      <c r="IL480" s="10"/>
      <c r="IM480" s="10"/>
      <c r="IN480" s="10"/>
      <c r="IO480" s="10"/>
      <c r="IP480" s="10"/>
      <c r="IQ480" s="10"/>
      <c r="IR480" s="10"/>
      <c r="IS480" t="s">
        <v>978</v>
      </c>
      <c r="IT480">
        <v>120</v>
      </c>
      <c r="IW480" t="s">
        <v>1</v>
      </c>
      <c r="IX480" t="s">
        <v>1</v>
      </c>
      <c r="IY480" t="s">
        <v>1</v>
      </c>
      <c r="IZ480" t="s">
        <v>1</v>
      </c>
      <c r="JA480" t="s">
        <v>1</v>
      </c>
      <c r="JB480" s="3" t="s">
        <v>1</v>
      </c>
      <c r="JC480" t="s">
        <v>1</v>
      </c>
      <c r="JD480" s="4" t="s">
        <v>1</v>
      </c>
      <c r="JE480" t="s">
        <v>1</v>
      </c>
      <c r="JF480" t="s">
        <v>1</v>
      </c>
      <c r="JR480" t="s">
        <v>1066</v>
      </c>
      <c r="JS480">
        <v>116.8</v>
      </c>
      <c r="JU480" t="s">
        <v>1</v>
      </c>
      <c r="JW480" t="s">
        <v>842</v>
      </c>
      <c r="JX480">
        <v>0</v>
      </c>
      <c r="JY480">
        <v>60</v>
      </c>
      <c r="JZ480" t="s">
        <v>800</v>
      </c>
      <c r="KA480" t="s">
        <v>544</v>
      </c>
      <c r="KB480" t="s">
        <v>738</v>
      </c>
      <c r="KC480" t="s">
        <v>1067</v>
      </c>
      <c r="KD480" s="1">
        <v>0</v>
      </c>
      <c r="KE480" s="11" t="s">
        <v>1</v>
      </c>
      <c r="KF480" s="11" t="s">
        <v>1</v>
      </c>
      <c r="KG480">
        <v>0</v>
      </c>
      <c r="KH480">
        <v>60</v>
      </c>
      <c r="KI480" t="s">
        <v>800</v>
      </c>
      <c r="KJ480" t="s">
        <v>544</v>
      </c>
      <c r="KK480" t="s">
        <v>738</v>
      </c>
    </row>
    <row r="481" spans="1:297" x14ac:dyDescent="0.2">
      <c r="A481">
        <v>449</v>
      </c>
      <c r="B481" t="s">
        <v>705</v>
      </c>
      <c r="C481" t="s">
        <v>552</v>
      </c>
      <c r="D481" t="s">
        <v>541</v>
      </c>
      <c r="E481">
        <v>76</v>
      </c>
      <c r="F481" t="s">
        <v>542</v>
      </c>
      <c r="G481" t="s">
        <v>1</v>
      </c>
      <c r="H481" s="26" t="s">
        <v>1420</v>
      </c>
      <c r="I481" t="s">
        <v>1</v>
      </c>
      <c r="J481" t="s">
        <v>1</v>
      </c>
      <c r="K481" t="s">
        <v>1</v>
      </c>
      <c r="L481" t="s">
        <v>1</v>
      </c>
      <c r="M481" t="s">
        <v>1</v>
      </c>
      <c r="N481" t="s">
        <v>1</v>
      </c>
      <c r="O481" t="s">
        <v>1</v>
      </c>
      <c r="P481" t="s">
        <v>1</v>
      </c>
      <c r="Q481" t="s">
        <v>1</v>
      </c>
      <c r="R481" t="s">
        <v>1</v>
      </c>
      <c r="S481" t="s">
        <v>1</v>
      </c>
      <c r="T481" t="s">
        <v>1</v>
      </c>
      <c r="U481" t="s">
        <v>1</v>
      </c>
      <c r="V481" t="s">
        <v>1</v>
      </c>
      <c r="W481" t="s">
        <v>1</v>
      </c>
      <c r="X481" t="s">
        <v>1</v>
      </c>
      <c r="Y481" t="s">
        <v>1</v>
      </c>
      <c r="Z481" t="s">
        <v>1</v>
      </c>
      <c r="AA481" t="s">
        <v>1</v>
      </c>
      <c r="AB481" t="s">
        <v>1</v>
      </c>
      <c r="AC481" t="s">
        <v>1</v>
      </c>
      <c r="AD481" t="s">
        <v>1</v>
      </c>
      <c r="AE481" t="s">
        <v>1</v>
      </c>
      <c r="AF481" t="s">
        <v>1</v>
      </c>
      <c r="AG481" t="s">
        <v>1</v>
      </c>
      <c r="AH481" t="s">
        <v>1</v>
      </c>
      <c r="AI481" t="s">
        <v>1</v>
      </c>
      <c r="AJ481" t="s">
        <v>1</v>
      </c>
      <c r="AK481" t="s">
        <v>1</v>
      </c>
      <c r="AL481" t="s">
        <v>1</v>
      </c>
      <c r="AM481" t="s">
        <v>1</v>
      </c>
      <c r="AN481">
        <v>449</v>
      </c>
      <c r="AO481">
        <f t="shared" si="59"/>
        <v>449</v>
      </c>
      <c r="AP481">
        <f t="shared" si="62"/>
        <v>76</v>
      </c>
      <c r="AQ481">
        <f t="shared" si="63"/>
        <v>76</v>
      </c>
      <c r="AR481" s="26" t="s">
        <v>1355</v>
      </c>
      <c r="AS481" s="26" t="s">
        <v>1356</v>
      </c>
      <c r="AT481" t="s">
        <v>716</v>
      </c>
      <c r="AU481" t="s">
        <v>1</v>
      </c>
      <c r="AV481" t="s">
        <v>1</v>
      </c>
      <c r="AW481">
        <v>54.32</v>
      </c>
      <c r="AX481">
        <v>9.98</v>
      </c>
      <c r="AY481" t="s">
        <v>737</v>
      </c>
      <c r="BA481" s="3">
        <v>4</v>
      </c>
      <c r="BB481" s="3"/>
      <c r="BC481" s="3"/>
      <c r="BD481" s="3"/>
      <c r="BE481" s="3"/>
      <c r="BF481">
        <v>2009</v>
      </c>
      <c r="BG481" s="24" t="s">
        <v>733</v>
      </c>
      <c r="BH481" s="24" t="s">
        <v>733</v>
      </c>
      <c r="BI481" s="24" t="s">
        <v>733</v>
      </c>
      <c r="BJ481" s="24" t="s">
        <v>732</v>
      </c>
      <c r="BK481" s="24" t="s">
        <v>733</v>
      </c>
      <c r="BL481" s="25" t="s">
        <v>733</v>
      </c>
      <c r="BM481" s="24" t="s">
        <v>733</v>
      </c>
      <c r="BN481" s="24" t="s">
        <v>732</v>
      </c>
      <c r="BO481" s="24" t="s">
        <v>733</v>
      </c>
      <c r="BP481" s="24" t="s">
        <v>733</v>
      </c>
      <c r="BQ481" s="24" t="s">
        <v>945</v>
      </c>
      <c r="BR481" s="24" t="s">
        <v>945</v>
      </c>
      <c r="BS481" s="25" t="s">
        <v>934</v>
      </c>
      <c r="BT481" s="24" t="s">
        <v>934</v>
      </c>
      <c r="BU481" s="24" t="s">
        <v>934</v>
      </c>
      <c r="BV481" s="24" t="s">
        <v>934</v>
      </c>
      <c r="BW481" s="24" t="s">
        <v>934</v>
      </c>
      <c r="BX481" s="24" t="s">
        <v>934</v>
      </c>
      <c r="BY481" s="25" t="s">
        <v>945</v>
      </c>
      <c r="BZ481" t="s">
        <v>5</v>
      </c>
      <c r="CB481" t="s">
        <v>1</v>
      </c>
      <c r="CC481" s="4" t="s">
        <v>1</v>
      </c>
      <c r="CD481" s="4"/>
      <c r="CE481" s="4"/>
      <c r="CF481" t="s">
        <v>1</v>
      </c>
      <c r="CG481" t="s">
        <v>1</v>
      </c>
      <c r="CH481" t="s">
        <v>805</v>
      </c>
      <c r="CI481" s="28">
        <v>1</v>
      </c>
      <c r="CJ481" s="9" t="s">
        <v>1</v>
      </c>
      <c r="CK481" s="9" t="s">
        <v>1</v>
      </c>
      <c r="CL481" s="4" t="s">
        <v>1</v>
      </c>
      <c r="CM481" t="s">
        <v>847</v>
      </c>
      <c r="CN481" s="4">
        <v>218.98012545864822</v>
      </c>
      <c r="CO481" s="4" t="s">
        <v>1</v>
      </c>
      <c r="CP481" s="4" t="s">
        <v>1</v>
      </c>
      <c r="CQ481" s="4" t="s">
        <v>1</v>
      </c>
      <c r="CR481" s="4" t="s">
        <v>1</v>
      </c>
      <c r="CS481" s="4" t="s">
        <v>1</v>
      </c>
      <c r="CT481" s="4" t="s">
        <v>1</v>
      </c>
      <c r="CU481" s="4" t="s">
        <v>1</v>
      </c>
      <c r="CV481" t="s">
        <v>855</v>
      </c>
      <c r="CW481">
        <v>100</v>
      </c>
      <c r="CX481">
        <v>0</v>
      </c>
      <c r="CY481">
        <v>30</v>
      </c>
      <c r="CZ481" s="26" t="s">
        <v>1358</v>
      </c>
      <c r="DA481" t="s">
        <v>734</v>
      </c>
      <c r="DB481">
        <v>59</v>
      </c>
      <c r="DC481">
        <v>0</v>
      </c>
      <c r="DD481">
        <v>30</v>
      </c>
      <c r="DE481" s="26" t="s">
        <v>1358</v>
      </c>
      <c r="DF481" t="s">
        <v>735</v>
      </c>
      <c r="DG481">
        <v>29</v>
      </c>
      <c r="DH481">
        <v>0</v>
      </c>
      <c r="DI481">
        <v>30</v>
      </c>
      <c r="DJ481" s="26" t="s">
        <v>1358</v>
      </c>
      <c r="DK481" t="s">
        <v>736</v>
      </c>
      <c r="DL481">
        <v>12</v>
      </c>
      <c r="DM481">
        <v>0</v>
      </c>
      <c r="DN481">
        <v>30</v>
      </c>
      <c r="DO481" s="26" t="s">
        <v>1358</v>
      </c>
      <c r="DP481" t="s">
        <v>6</v>
      </c>
      <c r="DQ481" t="s">
        <v>1</v>
      </c>
      <c r="DR481">
        <v>6.7</v>
      </c>
      <c r="DS481">
        <v>0</v>
      </c>
      <c r="DT481">
        <v>30</v>
      </c>
      <c r="DU481" s="26" t="s">
        <v>1358</v>
      </c>
      <c r="EA481" t="s">
        <v>982</v>
      </c>
      <c r="EB481">
        <v>1.3</v>
      </c>
      <c r="EC481">
        <v>0</v>
      </c>
      <c r="ED481">
        <v>30</v>
      </c>
      <c r="EE481" s="26" t="s">
        <v>1358</v>
      </c>
      <c r="EF481" s="26"/>
      <c r="FZ481" t="s">
        <v>806</v>
      </c>
      <c r="GA481">
        <v>823.5</v>
      </c>
      <c r="GE481" s="26" t="s">
        <v>1358</v>
      </c>
      <c r="HA481" s="5" t="s">
        <v>1</v>
      </c>
      <c r="HB481" s="4" t="s">
        <v>1</v>
      </c>
      <c r="HC481" t="s">
        <v>1</v>
      </c>
      <c r="HD481" t="s">
        <v>1</v>
      </c>
      <c r="HE481" t="s">
        <v>1</v>
      </c>
      <c r="HF481" s="5" t="s">
        <v>1063</v>
      </c>
      <c r="HG481" s="4">
        <v>0.11</v>
      </c>
      <c r="HH481">
        <v>0</v>
      </c>
      <c r="HI481">
        <v>30</v>
      </c>
      <c r="HJ481" s="26" t="s">
        <v>1358</v>
      </c>
      <c r="HK481" t="s">
        <v>1</v>
      </c>
      <c r="HL481" t="s">
        <v>1</v>
      </c>
      <c r="HM481" t="s">
        <v>1</v>
      </c>
      <c r="HN481" t="s">
        <v>1</v>
      </c>
      <c r="HO481" t="s">
        <v>1</v>
      </c>
      <c r="HP481" t="s">
        <v>1</v>
      </c>
      <c r="HZ481" t="s">
        <v>1</v>
      </c>
      <c r="IA481" t="s">
        <v>1</v>
      </c>
      <c r="IB481" s="10" t="s">
        <v>1</v>
      </c>
      <c r="IC481" s="10"/>
      <c r="ID481" s="10"/>
      <c r="IE481" s="10" t="s">
        <v>1</v>
      </c>
      <c r="IF481" s="10" t="s">
        <v>1</v>
      </c>
      <c r="IG481" s="10"/>
      <c r="IH481" s="10"/>
      <c r="II481" s="10"/>
      <c r="IJ481" s="10"/>
      <c r="IK481" s="10"/>
      <c r="IL481" s="10"/>
      <c r="IM481" s="10"/>
      <c r="IN481" s="10"/>
      <c r="IO481" s="10"/>
      <c r="IP481" s="10"/>
      <c r="IQ481" s="10"/>
      <c r="IR481" s="10"/>
      <c r="IS481" t="s">
        <v>978</v>
      </c>
      <c r="IT481">
        <v>240</v>
      </c>
      <c r="IW481" t="s">
        <v>1</v>
      </c>
      <c r="IX481" t="s">
        <v>1</v>
      </c>
      <c r="IY481" t="s">
        <v>1</v>
      </c>
      <c r="IZ481" t="s">
        <v>1</v>
      </c>
      <c r="JA481" t="s">
        <v>1</v>
      </c>
      <c r="JB481" s="3" t="s">
        <v>1</v>
      </c>
      <c r="JC481" t="s">
        <v>1</v>
      </c>
      <c r="JD481" s="4" t="s">
        <v>1</v>
      </c>
      <c r="JE481" t="s">
        <v>1</v>
      </c>
      <c r="JF481" t="s">
        <v>1</v>
      </c>
      <c r="JR481" t="s">
        <v>1066</v>
      </c>
      <c r="JS481">
        <v>140</v>
      </c>
      <c r="JU481" t="s">
        <v>1</v>
      </c>
      <c r="JW481" t="s">
        <v>842</v>
      </c>
      <c r="JX481">
        <v>0</v>
      </c>
      <c r="JY481">
        <v>60</v>
      </c>
      <c r="JZ481" t="s">
        <v>800</v>
      </c>
      <c r="KA481" t="s">
        <v>544</v>
      </c>
      <c r="KB481" t="s">
        <v>738</v>
      </c>
      <c r="KC481" t="s">
        <v>1067</v>
      </c>
      <c r="KD481" s="1">
        <v>0</v>
      </c>
      <c r="KE481" s="11" t="s">
        <v>1</v>
      </c>
      <c r="KF481" s="11" t="s">
        <v>1</v>
      </c>
      <c r="KG481">
        <v>0</v>
      </c>
      <c r="KH481">
        <v>60</v>
      </c>
      <c r="KI481" t="s">
        <v>800</v>
      </c>
      <c r="KJ481" t="s">
        <v>544</v>
      </c>
      <c r="KK481" t="s">
        <v>738</v>
      </c>
    </row>
    <row r="482" spans="1:297" x14ac:dyDescent="0.2">
      <c r="A482">
        <v>450</v>
      </c>
      <c r="B482" t="s">
        <v>705</v>
      </c>
      <c r="C482" t="s">
        <v>553</v>
      </c>
      <c r="D482" t="s">
        <v>541</v>
      </c>
      <c r="E482">
        <v>76</v>
      </c>
      <c r="F482" t="s">
        <v>542</v>
      </c>
      <c r="G482" t="s">
        <v>1</v>
      </c>
      <c r="H482" s="26" t="s">
        <v>1420</v>
      </c>
      <c r="I482" t="s">
        <v>1</v>
      </c>
      <c r="J482" t="s">
        <v>1</v>
      </c>
      <c r="K482" t="s">
        <v>1</v>
      </c>
      <c r="L482" t="s">
        <v>1</v>
      </c>
      <c r="M482" t="s">
        <v>1</v>
      </c>
      <c r="N482" t="s">
        <v>1</v>
      </c>
      <c r="O482" t="s">
        <v>1</v>
      </c>
      <c r="P482" t="s">
        <v>1</v>
      </c>
      <c r="Q482" t="s">
        <v>1</v>
      </c>
      <c r="R482" t="s">
        <v>1</v>
      </c>
      <c r="S482" t="s">
        <v>1</v>
      </c>
      <c r="T482" t="s">
        <v>1</v>
      </c>
      <c r="U482" t="s">
        <v>1</v>
      </c>
      <c r="V482" t="s">
        <v>1</v>
      </c>
      <c r="W482" t="s">
        <v>1</v>
      </c>
      <c r="X482" t="s">
        <v>1</v>
      </c>
      <c r="Y482" t="s">
        <v>1</v>
      </c>
      <c r="Z482" t="s">
        <v>1</v>
      </c>
      <c r="AA482" t="s">
        <v>1</v>
      </c>
      <c r="AB482" t="s">
        <v>1</v>
      </c>
      <c r="AC482" t="s">
        <v>1</v>
      </c>
      <c r="AD482" t="s">
        <v>1</v>
      </c>
      <c r="AE482" t="s">
        <v>1</v>
      </c>
      <c r="AF482" t="s">
        <v>1</v>
      </c>
      <c r="AG482" t="s">
        <v>1</v>
      </c>
      <c r="AH482" t="s">
        <v>1</v>
      </c>
      <c r="AI482" t="s">
        <v>1</v>
      </c>
      <c r="AJ482" t="s">
        <v>1</v>
      </c>
      <c r="AK482" t="s">
        <v>1</v>
      </c>
      <c r="AL482" t="s">
        <v>1</v>
      </c>
      <c r="AM482" t="s">
        <v>1</v>
      </c>
      <c r="AN482">
        <v>450</v>
      </c>
      <c r="AO482">
        <f t="shared" si="59"/>
        <v>450</v>
      </c>
      <c r="AP482">
        <f t="shared" si="62"/>
        <v>76</v>
      </c>
      <c r="AQ482">
        <f t="shared" si="63"/>
        <v>76</v>
      </c>
      <c r="AR482" s="26" t="s">
        <v>1355</v>
      </c>
      <c r="AS482" s="26" t="s">
        <v>1356</v>
      </c>
      <c r="AT482" t="s">
        <v>716</v>
      </c>
      <c r="AU482" t="s">
        <v>1</v>
      </c>
      <c r="AV482" t="s">
        <v>1</v>
      </c>
      <c r="AW482">
        <v>54.32</v>
      </c>
      <c r="AX482">
        <v>9.98</v>
      </c>
      <c r="AY482" t="s">
        <v>737</v>
      </c>
      <c r="BA482" s="3">
        <v>4</v>
      </c>
      <c r="BB482" s="3"/>
      <c r="BC482" s="3"/>
      <c r="BD482" s="3"/>
      <c r="BE482" s="3"/>
      <c r="BF482">
        <v>2009</v>
      </c>
      <c r="BG482" s="24" t="s">
        <v>733</v>
      </c>
      <c r="BH482" s="24" t="s">
        <v>733</v>
      </c>
      <c r="BI482" s="24" t="s">
        <v>733</v>
      </c>
      <c r="BJ482" s="24" t="s">
        <v>732</v>
      </c>
      <c r="BK482" s="24" t="s">
        <v>733</v>
      </c>
      <c r="BL482" s="25" t="s">
        <v>733</v>
      </c>
      <c r="BM482" s="24" t="s">
        <v>733</v>
      </c>
      <c r="BN482" s="24" t="s">
        <v>732</v>
      </c>
      <c r="BO482" s="24" t="s">
        <v>733</v>
      </c>
      <c r="BP482" s="24" t="s">
        <v>733</v>
      </c>
      <c r="BQ482" s="24" t="s">
        <v>945</v>
      </c>
      <c r="BR482" s="24" t="s">
        <v>945</v>
      </c>
      <c r="BS482" s="25" t="s">
        <v>934</v>
      </c>
      <c r="BT482" s="24" t="s">
        <v>934</v>
      </c>
      <c r="BU482" s="24" t="s">
        <v>934</v>
      </c>
      <c r="BV482" s="24" t="s">
        <v>934</v>
      </c>
      <c r="BW482" s="24" t="s">
        <v>934</v>
      </c>
      <c r="BX482" s="24" t="s">
        <v>934</v>
      </c>
      <c r="BY482" s="25" t="s">
        <v>945</v>
      </c>
      <c r="BZ482" t="s">
        <v>5</v>
      </c>
      <c r="CB482" t="s">
        <v>1</v>
      </c>
      <c r="CC482" s="4" t="s">
        <v>1</v>
      </c>
      <c r="CD482" s="4"/>
      <c r="CE482" s="4"/>
      <c r="CF482" t="s">
        <v>1</v>
      </c>
      <c r="CG482" t="s">
        <v>1</v>
      </c>
      <c r="CH482" t="s">
        <v>805</v>
      </c>
      <c r="CI482" s="28">
        <v>1</v>
      </c>
      <c r="CJ482" s="9" t="s">
        <v>1</v>
      </c>
      <c r="CK482" s="9" t="s">
        <v>1</v>
      </c>
      <c r="CL482" s="4" t="s">
        <v>1</v>
      </c>
      <c r="CM482" t="s">
        <v>847</v>
      </c>
      <c r="CN482" s="4">
        <v>249.99002428893996</v>
      </c>
      <c r="CO482" s="4" t="s">
        <v>1</v>
      </c>
      <c r="CP482" s="4" t="s">
        <v>1</v>
      </c>
      <c r="CQ482" s="4" t="s">
        <v>1</v>
      </c>
      <c r="CR482" s="4" t="s">
        <v>1</v>
      </c>
      <c r="CS482" s="4" t="s">
        <v>1</v>
      </c>
      <c r="CT482" s="4" t="s">
        <v>1</v>
      </c>
      <c r="CU482" s="4" t="s">
        <v>1</v>
      </c>
      <c r="CV482" t="s">
        <v>855</v>
      </c>
      <c r="CW482">
        <v>100</v>
      </c>
      <c r="CX482">
        <v>0</v>
      </c>
      <c r="CY482">
        <v>30</v>
      </c>
      <c r="CZ482" s="26" t="s">
        <v>1358</v>
      </c>
      <c r="DA482" t="s">
        <v>734</v>
      </c>
      <c r="DB482">
        <v>59</v>
      </c>
      <c r="DC482">
        <v>0</v>
      </c>
      <c r="DD482">
        <v>30</v>
      </c>
      <c r="DE482" s="26" t="s">
        <v>1358</v>
      </c>
      <c r="DF482" t="s">
        <v>735</v>
      </c>
      <c r="DG482">
        <v>29</v>
      </c>
      <c r="DH482">
        <v>0</v>
      </c>
      <c r="DI482">
        <v>30</v>
      </c>
      <c r="DJ482" s="26" t="s">
        <v>1358</v>
      </c>
      <c r="DK482" t="s">
        <v>736</v>
      </c>
      <c r="DL482">
        <v>12</v>
      </c>
      <c r="DM482">
        <v>0</v>
      </c>
      <c r="DN482">
        <v>30</v>
      </c>
      <c r="DO482" s="26" t="s">
        <v>1358</v>
      </c>
      <c r="DP482" t="s">
        <v>6</v>
      </c>
      <c r="DQ482" t="s">
        <v>1</v>
      </c>
      <c r="DR482">
        <v>6.7</v>
      </c>
      <c r="DS482">
        <v>0</v>
      </c>
      <c r="DT482">
        <v>30</v>
      </c>
      <c r="DU482" s="26" t="s">
        <v>1358</v>
      </c>
      <c r="EA482" t="s">
        <v>982</v>
      </c>
      <c r="EB482">
        <v>1.3</v>
      </c>
      <c r="EC482">
        <v>0</v>
      </c>
      <c r="ED482">
        <v>30</v>
      </c>
      <c r="EE482" s="26" t="s">
        <v>1358</v>
      </c>
      <c r="EF482" s="26"/>
      <c r="FZ482" t="s">
        <v>806</v>
      </c>
      <c r="GA482">
        <v>823.5</v>
      </c>
      <c r="GE482" s="26" t="s">
        <v>1358</v>
      </c>
      <c r="HA482" s="5" t="s">
        <v>1</v>
      </c>
      <c r="HB482" s="4" t="s">
        <v>1</v>
      </c>
      <c r="HC482" t="s">
        <v>1</v>
      </c>
      <c r="HD482" t="s">
        <v>1</v>
      </c>
      <c r="HE482" t="s">
        <v>1</v>
      </c>
      <c r="HF482" s="5" t="s">
        <v>1063</v>
      </c>
      <c r="HG482" s="4">
        <v>0.11</v>
      </c>
      <c r="HH482">
        <v>0</v>
      </c>
      <c r="HI482">
        <v>30</v>
      </c>
      <c r="HJ482" s="26" t="s">
        <v>1358</v>
      </c>
      <c r="HK482" t="s">
        <v>1</v>
      </c>
      <c r="HL482" t="s">
        <v>1</v>
      </c>
      <c r="HM482" t="s">
        <v>1</v>
      </c>
      <c r="HN482" t="s">
        <v>1</v>
      </c>
      <c r="HO482" t="s">
        <v>1</v>
      </c>
      <c r="HP482" t="s">
        <v>1</v>
      </c>
      <c r="HZ482" t="s">
        <v>1</v>
      </c>
      <c r="IA482" t="s">
        <v>1</v>
      </c>
      <c r="IB482" s="10" t="s">
        <v>1</v>
      </c>
      <c r="IC482" s="10"/>
      <c r="ID482" s="10"/>
      <c r="IE482" s="10" t="s">
        <v>1</v>
      </c>
      <c r="IF482" s="10" t="s">
        <v>1</v>
      </c>
      <c r="IG482" s="10"/>
      <c r="IH482" s="10"/>
      <c r="II482" s="10"/>
      <c r="IJ482" s="10"/>
      <c r="IK482" s="10"/>
      <c r="IL482" s="10"/>
      <c r="IM482" s="10"/>
      <c r="IN482" s="10"/>
      <c r="IO482" s="10"/>
      <c r="IP482" s="10"/>
      <c r="IQ482" s="10"/>
      <c r="IR482" s="10"/>
      <c r="IS482" t="s">
        <v>978</v>
      </c>
      <c r="IT482">
        <v>360</v>
      </c>
      <c r="IW482" t="s">
        <v>1</v>
      </c>
      <c r="IX482" t="s">
        <v>1</v>
      </c>
      <c r="IY482" t="s">
        <v>1</v>
      </c>
      <c r="IZ482" t="s">
        <v>1</v>
      </c>
      <c r="JA482" t="s">
        <v>1</v>
      </c>
      <c r="JB482" s="3" t="s">
        <v>1</v>
      </c>
      <c r="JC482" t="s">
        <v>1</v>
      </c>
      <c r="JD482" s="4" t="s">
        <v>1</v>
      </c>
      <c r="JE482" t="s">
        <v>1</v>
      </c>
      <c r="JF482" t="s">
        <v>1</v>
      </c>
      <c r="JR482" t="s">
        <v>1066</v>
      </c>
      <c r="JS482">
        <v>277.7</v>
      </c>
      <c r="JU482" t="s">
        <v>1</v>
      </c>
      <c r="JW482" t="s">
        <v>842</v>
      </c>
      <c r="JX482">
        <v>0</v>
      </c>
      <c r="JY482">
        <v>60</v>
      </c>
      <c r="JZ482" t="s">
        <v>800</v>
      </c>
      <c r="KA482" t="s">
        <v>544</v>
      </c>
      <c r="KB482" t="s">
        <v>738</v>
      </c>
      <c r="KC482" t="s">
        <v>1067</v>
      </c>
      <c r="KD482" s="1">
        <f>0.1/5.9*JS482</f>
        <v>4.7067796610169488</v>
      </c>
      <c r="KE482" s="11" t="s">
        <v>1</v>
      </c>
      <c r="KF482" s="11" t="s">
        <v>1</v>
      </c>
      <c r="KG482">
        <v>0</v>
      </c>
      <c r="KH482">
        <v>60</v>
      </c>
      <c r="KI482" t="s">
        <v>800</v>
      </c>
      <c r="KJ482" t="s">
        <v>544</v>
      </c>
      <c r="KK482" t="s">
        <v>738</v>
      </c>
    </row>
    <row r="483" spans="1:297" x14ac:dyDescent="0.2">
      <c r="A483">
        <v>451</v>
      </c>
      <c r="B483" t="s">
        <v>705</v>
      </c>
      <c r="C483" t="s">
        <v>554</v>
      </c>
      <c r="D483" t="s">
        <v>541</v>
      </c>
      <c r="E483">
        <v>76</v>
      </c>
      <c r="F483" t="s">
        <v>542</v>
      </c>
      <c r="G483" t="s">
        <v>1</v>
      </c>
      <c r="H483" s="26" t="s">
        <v>1420</v>
      </c>
      <c r="I483" t="s">
        <v>1</v>
      </c>
      <c r="J483" t="s">
        <v>1</v>
      </c>
      <c r="K483" t="s">
        <v>1</v>
      </c>
      <c r="L483" t="s">
        <v>1</v>
      </c>
      <c r="M483" t="s">
        <v>1</v>
      </c>
      <c r="N483" t="s">
        <v>1</v>
      </c>
      <c r="O483" t="s">
        <v>1</v>
      </c>
      <c r="P483" t="s">
        <v>1</v>
      </c>
      <c r="Q483" t="s">
        <v>1</v>
      </c>
      <c r="R483" t="s">
        <v>1</v>
      </c>
      <c r="S483" t="s">
        <v>1</v>
      </c>
      <c r="T483" t="s">
        <v>1</v>
      </c>
      <c r="U483" t="s">
        <v>1</v>
      </c>
      <c r="V483" t="s">
        <v>1</v>
      </c>
      <c r="W483" t="s">
        <v>1</v>
      </c>
      <c r="X483" t="s">
        <v>1</v>
      </c>
      <c r="Y483" t="s">
        <v>1</v>
      </c>
      <c r="Z483" t="s">
        <v>1</v>
      </c>
      <c r="AA483" t="s">
        <v>1</v>
      </c>
      <c r="AB483" t="s">
        <v>1</v>
      </c>
      <c r="AC483" t="s">
        <v>1</v>
      </c>
      <c r="AD483" t="s">
        <v>1</v>
      </c>
      <c r="AE483" t="s">
        <v>1</v>
      </c>
      <c r="AF483" t="s">
        <v>1</v>
      </c>
      <c r="AG483" t="s">
        <v>1</v>
      </c>
      <c r="AH483" t="s">
        <v>1</v>
      </c>
      <c r="AI483" t="s">
        <v>1</v>
      </c>
      <c r="AJ483" t="s">
        <v>1</v>
      </c>
      <c r="AK483" t="s">
        <v>1</v>
      </c>
      <c r="AL483" t="s">
        <v>1</v>
      </c>
      <c r="AM483" t="s">
        <v>1</v>
      </c>
      <c r="AN483">
        <v>451</v>
      </c>
      <c r="AO483">
        <f t="shared" si="59"/>
        <v>451</v>
      </c>
      <c r="AP483">
        <f t="shared" si="62"/>
        <v>76</v>
      </c>
      <c r="AQ483">
        <f t="shared" si="63"/>
        <v>76</v>
      </c>
      <c r="AR483" s="26" t="s">
        <v>1355</v>
      </c>
      <c r="AS483" s="26" t="s">
        <v>1356</v>
      </c>
      <c r="AT483" t="s">
        <v>716</v>
      </c>
      <c r="AU483" t="s">
        <v>1</v>
      </c>
      <c r="AV483" t="s">
        <v>1</v>
      </c>
      <c r="AW483">
        <v>53.92</v>
      </c>
      <c r="AX483">
        <v>9.9499999999999993</v>
      </c>
      <c r="AY483" t="s">
        <v>737</v>
      </c>
      <c r="BA483" s="3">
        <v>4</v>
      </c>
      <c r="BB483" s="3"/>
      <c r="BC483" s="3"/>
      <c r="BD483" s="3"/>
      <c r="BE483" s="3"/>
      <c r="BF483">
        <v>2009</v>
      </c>
      <c r="BG483" s="24" t="s">
        <v>733</v>
      </c>
      <c r="BH483" s="24" t="s">
        <v>733</v>
      </c>
      <c r="BI483" s="24" t="s">
        <v>733</v>
      </c>
      <c r="BJ483" s="24" t="s">
        <v>732</v>
      </c>
      <c r="BK483" s="24" t="s">
        <v>733</v>
      </c>
      <c r="BL483" s="25" t="s">
        <v>733</v>
      </c>
      <c r="BM483" s="24" t="s">
        <v>733</v>
      </c>
      <c r="BN483" s="24" t="s">
        <v>732</v>
      </c>
      <c r="BO483" s="24" t="s">
        <v>733</v>
      </c>
      <c r="BP483" s="24" t="s">
        <v>733</v>
      </c>
      <c r="BQ483" s="24" t="s">
        <v>945</v>
      </c>
      <c r="BR483" s="24" t="s">
        <v>945</v>
      </c>
      <c r="BS483" s="25" t="s">
        <v>934</v>
      </c>
      <c r="BT483" s="24" t="s">
        <v>934</v>
      </c>
      <c r="BU483" s="24" t="s">
        <v>934</v>
      </c>
      <c r="BV483" s="24" t="s">
        <v>934</v>
      </c>
      <c r="BW483" s="24" t="s">
        <v>934</v>
      </c>
      <c r="BX483" s="24" t="s">
        <v>934</v>
      </c>
      <c r="BY483" s="25" t="s">
        <v>945</v>
      </c>
      <c r="BZ483" t="s">
        <v>5</v>
      </c>
      <c r="CB483" t="s">
        <v>1</v>
      </c>
      <c r="CC483" s="4" t="s">
        <v>1</v>
      </c>
      <c r="CD483" s="4"/>
      <c r="CE483" s="4"/>
      <c r="CF483" t="s">
        <v>1</v>
      </c>
      <c r="CG483" t="s">
        <v>1</v>
      </c>
      <c r="CH483" t="s">
        <v>805</v>
      </c>
      <c r="CI483" s="28">
        <v>1</v>
      </c>
      <c r="CJ483" s="9" t="s">
        <v>1</v>
      </c>
      <c r="CK483" s="9" t="s">
        <v>1</v>
      </c>
      <c r="CL483" s="4" t="s">
        <v>1</v>
      </c>
      <c r="CM483" t="s">
        <v>847</v>
      </c>
      <c r="CN483" s="4">
        <v>73.374205200047584</v>
      </c>
      <c r="CO483" s="4" t="s">
        <v>1</v>
      </c>
      <c r="CP483" s="4" t="s">
        <v>1</v>
      </c>
      <c r="CQ483" s="4" t="s">
        <v>1</v>
      </c>
      <c r="CR483" s="4" t="s">
        <v>1</v>
      </c>
      <c r="CS483" s="4" t="s">
        <v>1</v>
      </c>
      <c r="CT483" s="4" t="s">
        <v>1</v>
      </c>
      <c r="CU483" s="4" t="s">
        <v>1</v>
      </c>
      <c r="CV483" t="s">
        <v>853</v>
      </c>
      <c r="CW483">
        <v>100</v>
      </c>
      <c r="CX483">
        <v>0</v>
      </c>
      <c r="CY483">
        <v>30</v>
      </c>
      <c r="CZ483" s="26" t="s">
        <v>1358</v>
      </c>
      <c r="DA483" t="s">
        <v>734</v>
      </c>
      <c r="DB483">
        <v>91</v>
      </c>
      <c r="DC483">
        <v>0</v>
      </c>
      <c r="DD483">
        <v>30</v>
      </c>
      <c r="DE483" s="26" t="s">
        <v>1358</v>
      </c>
      <c r="DF483" t="s">
        <v>735</v>
      </c>
      <c r="DG483">
        <v>5</v>
      </c>
      <c r="DH483">
        <v>0</v>
      </c>
      <c r="DI483">
        <v>30</v>
      </c>
      <c r="DJ483" s="26" t="s">
        <v>1358</v>
      </c>
      <c r="DK483" t="s">
        <v>736</v>
      </c>
      <c r="DL483">
        <v>4</v>
      </c>
      <c r="DM483">
        <v>0</v>
      </c>
      <c r="DN483">
        <v>30</v>
      </c>
      <c r="DO483" s="26" t="s">
        <v>1358</v>
      </c>
      <c r="DP483" t="s">
        <v>6</v>
      </c>
      <c r="DQ483" t="s">
        <v>1</v>
      </c>
      <c r="DR483">
        <v>4.8</v>
      </c>
      <c r="DS483">
        <v>0</v>
      </c>
      <c r="DT483">
        <v>30</v>
      </c>
      <c r="DU483" s="26" t="s">
        <v>1358</v>
      </c>
      <c r="EA483" t="s">
        <v>982</v>
      </c>
      <c r="EB483">
        <v>7.5</v>
      </c>
      <c r="EC483">
        <v>0</v>
      </c>
      <c r="ED483">
        <v>30</v>
      </c>
      <c r="EE483" s="26" t="s">
        <v>1358</v>
      </c>
      <c r="EF483" s="26"/>
      <c r="FZ483" t="s">
        <v>806</v>
      </c>
      <c r="GA483">
        <v>881.5</v>
      </c>
      <c r="GE483" s="26" t="s">
        <v>1358</v>
      </c>
      <c r="HA483" s="5" t="s">
        <v>1</v>
      </c>
      <c r="HB483" s="4" t="s">
        <v>1</v>
      </c>
      <c r="HC483" t="s">
        <v>1</v>
      </c>
      <c r="HD483" t="s">
        <v>1</v>
      </c>
      <c r="HE483" t="s">
        <v>1</v>
      </c>
      <c r="HF483" s="5" t="s">
        <v>1063</v>
      </c>
      <c r="HG483" s="4">
        <v>0.3</v>
      </c>
      <c r="HH483">
        <v>0</v>
      </c>
      <c r="HI483">
        <v>30</v>
      </c>
      <c r="HJ483" s="26" t="s">
        <v>1358</v>
      </c>
      <c r="HK483" t="s">
        <v>1</v>
      </c>
      <c r="HL483" t="s">
        <v>1</v>
      </c>
      <c r="HM483" t="s">
        <v>1</v>
      </c>
      <c r="HN483" t="s">
        <v>1</v>
      </c>
      <c r="HO483" t="s">
        <v>1</v>
      </c>
      <c r="HP483" t="s">
        <v>1</v>
      </c>
      <c r="HZ483" t="s">
        <v>1</v>
      </c>
      <c r="IA483" t="s">
        <v>1</v>
      </c>
      <c r="IB483" s="10" t="s">
        <v>1</v>
      </c>
      <c r="IC483" s="10"/>
      <c r="ID483" s="10"/>
      <c r="IE483" s="10" t="s">
        <v>1</v>
      </c>
      <c r="IF483" s="10" t="s">
        <v>1</v>
      </c>
      <c r="IG483" s="10"/>
      <c r="IH483" s="10"/>
      <c r="II483" s="10"/>
      <c r="IJ483" s="10"/>
      <c r="IK483" s="10"/>
      <c r="IL483" s="10"/>
      <c r="IM483" s="10"/>
      <c r="IN483" s="10"/>
      <c r="IO483" s="10"/>
      <c r="IP483" s="10"/>
      <c r="IQ483" s="10"/>
      <c r="IR483" s="10"/>
      <c r="IS483" t="s">
        <v>1</v>
      </c>
      <c r="IT483" t="s">
        <v>1</v>
      </c>
      <c r="IW483" t="s">
        <v>1</v>
      </c>
      <c r="IX483" t="s">
        <v>1</v>
      </c>
      <c r="IY483" t="s">
        <v>1</v>
      </c>
      <c r="IZ483" t="s">
        <v>1</v>
      </c>
      <c r="JA483" t="s">
        <v>1</v>
      </c>
      <c r="JB483" s="3" t="s">
        <v>1</v>
      </c>
      <c r="JC483" t="s">
        <v>1</v>
      </c>
      <c r="JD483" s="4" t="s">
        <v>1</v>
      </c>
      <c r="JE483" t="s">
        <v>1</v>
      </c>
      <c r="JF483" t="s">
        <v>1</v>
      </c>
      <c r="JR483" t="s">
        <v>1066</v>
      </c>
      <c r="JS483">
        <v>104.9</v>
      </c>
      <c r="JU483" t="s">
        <v>1</v>
      </c>
      <c r="JW483" t="s">
        <v>842</v>
      </c>
      <c r="JX483">
        <v>0</v>
      </c>
      <c r="JY483">
        <v>60</v>
      </c>
      <c r="JZ483" t="s">
        <v>800</v>
      </c>
      <c r="KA483" t="s">
        <v>544</v>
      </c>
      <c r="KB483" t="s">
        <v>738</v>
      </c>
      <c r="KC483" t="s">
        <v>1067</v>
      </c>
      <c r="KD483" s="1">
        <v>0</v>
      </c>
      <c r="KE483" s="11" t="s">
        <v>1</v>
      </c>
      <c r="KF483" s="11" t="s">
        <v>1</v>
      </c>
      <c r="KG483">
        <v>0</v>
      </c>
      <c r="KH483">
        <v>60</v>
      </c>
      <c r="KI483" t="s">
        <v>800</v>
      </c>
      <c r="KJ483" t="s">
        <v>544</v>
      </c>
      <c r="KK483" t="s">
        <v>738</v>
      </c>
    </row>
    <row r="484" spans="1:297" x14ac:dyDescent="0.2">
      <c r="A484">
        <v>452</v>
      </c>
      <c r="B484" t="s">
        <v>705</v>
      </c>
      <c r="C484" t="s">
        <v>555</v>
      </c>
      <c r="D484" t="s">
        <v>541</v>
      </c>
      <c r="E484">
        <v>76</v>
      </c>
      <c r="F484" t="s">
        <v>542</v>
      </c>
      <c r="G484" t="s">
        <v>1</v>
      </c>
      <c r="H484" s="26" t="s">
        <v>1420</v>
      </c>
      <c r="I484" t="s">
        <v>1</v>
      </c>
      <c r="J484" t="s">
        <v>1</v>
      </c>
      <c r="K484" t="s">
        <v>1</v>
      </c>
      <c r="L484" t="s">
        <v>1</v>
      </c>
      <c r="M484" t="s">
        <v>1</v>
      </c>
      <c r="N484" t="s">
        <v>1</v>
      </c>
      <c r="O484" t="s">
        <v>1</v>
      </c>
      <c r="P484" t="s">
        <v>1</v>
      </c>
      <c r="Q484" t="s">
        <v>1</v>
      </c>
      <c r="R484" t="s">
        <v>1</v>
      </c>
      <c r="S484" t="s">
        <v>1</v>
      </c>
      <c r="T484" t="s">
        <v>1</v>
      </c>
      <c r="U484" t="s">
        <v>1</v>
      </c>
      <c r="V484" t="s">
        <v>1</v>
      </c>
      <c r="W484" t="s">
        <v>1</v>
      </c>
      <c r="X484" t="s">
        <v>1</v>
      </c>
      <c r="Y484" t="s">
        <v>1</v>
      </c>
      <c r="Z484" t="s">
        <v>1</v>
      </c>
      <c r="AA484" t="s">
        <v>1</v>
      </c>
      <c r="AB484" t="s">
        <v>1</v>
      </c>
      <c r="AC484" t="s">
        <v>1</v>
      </c>
      <c r="AD484" t="s">
        <v>1</v>
      </c>
      <c r="AE484" t="s">
        <v>1</v>
      </c>
      <c r="AF484" t="s">
        <v>1</v>
      </c>
      <c r="AG484" t="s">
        <v>1</v>
      </c>
      <c r="AH484" t="s">
        <v>1</v>
      </c>
      <c r="AI484" t="s">
        <v>1</v>
      </c>
      <c r="AJ484" t="s">
        <v>1</v>
      </c>
      <c r="AK484" t="s">
        <v>1</v>
      </c>
      <c r="AL484" t="s">
        <v>1</v>
      </c>
      <c r="AM484" t="s">
        <v>1</v>
      </c>
      <c r="AN484">
        <v>452</v>
      </c>
      <c r="AO484">
        <f t="shared" si="59"/>
        <v>452</v>
      </c>
      <c r="AP484">
        <f t="shared" si="62"/>
        <v>76</v>
      </c>
      <c r="AQ484">
        <f t="shared" si="63"/>
        <v>76</v>
      </c>
      <c r="AR484" s="26" t="s">
        <v>1355</v>
      </c>
      <c r="AS484" s="26" t="s">
        <v>1356</v>
      </c>
      <c r="AT484" t="s">
        <v>716</v>
      </c>
      <c r="AU484" t="s">
        <v>1</v>
      </c>
      <c r="AV484" t="s">
        <v>1</v>
      </c>
      <c r="AW484">
        <v>53.92</v>
      </c>
      <c r="AX484">
        <v>9.9499999999999993</v>
      </c>
      <c r="AY484" t="s">
        <v>737</v>
      </c>
      <c r="BA484" s="3">
        <v>4</v>
      </c>
      <c r="BB484" s="3"/>
      <c r="BC484" s="3"/>
      <c r="BD484" s="3"/>
      <c r="BE484" s="3"/>
      <c r="BF484">
        <v>2009</v>
      </c>
      <c r="BG484" s="24" t="s">
        <v>733</v>
      </c>
      <c r="BH484" s="24" t="s">
        <v>733</v>
      </c>
      <c r="BI484" s="24" t="s">
        <v>733</v>
      </c>
      <c r="BJ484" s="24" t="s">
        <v>732</v>
      </c>
      <c r="BK484" s="24" t="s">
        <v>733</v>
      </c>
      <c r="BL484" s="25" t="s">
        <v>733</v>
      </c>
      <c r="BM484" s="24" t="s">
        <v>733</v>
      </c>
      <c r="BN484" s="24" t="s">
        <v>732</v>
      </c>
      <c r="BO484" s="24" t="s">
        <v>733</v>
      </c>
      <c r="BP484" s="24" t="s">
        <v>733</v>
      </c>
      <c r="BQ484" s="24" t="s">
        <v>945</v>
      </c>
      <c r="BR484" s="24" t="s">
        <v>945</v>
      </c>
      <c r="BS484" s="25" t="s">
        <v>934</v>
      </c>
      <c r="BT484" s="24" t="s">
        <v>934</v>
      </c>
      <c r="BU484" s="24" t="s">
        <v>934</v>
      </c>
      <c r="BV484" s="24" t="s">
        <v>934</v>
      </c>
      <c r="BW484" s="24" t="s">
        <v>934</v>
      </c>
      <c r="BX484" s="24" t="s">
        <v>934</v>
      </c>
      <c r="BY484" s="25" t="s">
        <v>945</v>
      </c>
      <c r="BZ484" t="s">
        <v>5</v>
      </c>
      <c r="CB484" t="s">
        <v>1</v>
      </c>
      <c r="CC484" s="4" t="s">
        <v>1</v>
      </c>
      <c r="CD484" s="4"/>
      <c r="CE484" s="4"/>
      <c r="CF484" t="s">
        <v>1</v>
      </c>
      <c r="CG484" t="s">
        <v>1</v>
      </c>
      <c r="CH484" t="s">
        <v>805</v>
      </c>
      <c r="CI484" s="28">
        <v>1</v>
      </c>
      <c r="CJ484" s="9" t="s">
        <v>1</v>
      </c>
      <c r="CK484" s="9" t="s">
        <v>1</v>
      </c>
      <c r="CL484" s="4" t="s">
        <v>1</v>
      </c>
      <c r="CM484" t="s">
        <v>847</v>
      </c>
      <c r="CN484" s="4">
        <v>161.23778703962475</v>
      </c>
      <c r="CO484" s="4" t="s">
        <v>1</v>
      </c>
      <c r="CP484" s="4" t="s">
        <v>1</v>
      </c>
      <c r="CQ484" s="4" t="s">
        <v>1</v>
      </c>
      <c r="CR484" s="4" t="s">
        <v>1</v>
      </c>
      <c r="CS484" s="4" t="s">
        <v>1</v>
      </c>
      <c r="CT484" s="4" t="s">
        <v>1</v>
      </c>
      <c r="CU484" s="4" t="s">
        <v>1</v>
      </c>
      <c r="CV484" t="s">
        <v>853</v>
      </c>
      <c r="CW484">
        <v>100</v>
      </c>
      <c r="CX484">
        <v>0</v>
      </c>
      <c r="CY484">
        <v>30</v>
      </c>
      <c r="CZ484" s="26" t="s">
        <v>1358</v>
      </c>
      <c r="DA484" t="s">
        <v>734</v>
      </c>
      <c r="DB484">
        <v>91</v>
      </c>
      <c r="DC484">
        <v>0</v>
      </c>
      <c r="DD484">
        <v>30</v>
      </c>
      <c r="DE484" s="26" t="s">
        <v>1358</v>
      </c>
      <c r="DF484" t="s">
        <v>735</v>
      </c>
      <c r="DG484">
        <v>5</v>
      </c>
      <c r="DH484">
        <v>0</v>
      </c>
      <c r="DI484">
        <v>30</v>
      </c>
      <c r="DJ484" s="26" t="s">
        <v>1358</v>
      </c>
      <c r="DK484" t="s">
        <v>736</v>
      </c>
      <c r="DL484">
        <v>4</v>
      </c>
      <c r="DM484">
        <v>0</v>
      </c>
      <c r="DN484">
        <v>30</v>
      </c>
      <c r="DO484" s="26" t="s">
        <v>1358</v>
      </c>
      <c r="DP484" t="s">
        <v>6</v>
      </c>
      <c r="DQ484" t="s">
        <v>1</v>
      </c>
      <c r="DR484">
        <v>4.8</v>
      </c>
      <c r="DS484">
        <v>0</v>
      </c>
      <c r="DT484">
        <v>30</v>
      </c>
      <c r="DU484" s="26" t="s">
        <v>1358</v>
      </c>
      <c r="EA484" t="s">
        <v>982</v>
      </c>
      <c r="EB484">
        <v>7.5</v>
      </c>
      <c r="EC484">
        <v>0</v>
      </c>
      <c r="ED484">
        <v>30</v>
      </c>
      <c r="EE484" s="26" t="s">
        <v>1358</v>
      </c>
      <c r="EF484" s="26"/>
      <c r="FZ484" t="s">
        <v>806</v>
      </c>
      <c r="GA484">
        <v>881.5</v>
      </c>
      <c r="GE484" s="26" t="s">
        <v>1358</v>
      </c>
      <c r="HA484" s="5" t="s">
        <v>1</v>
      </c>
      <c r="HB484" s="4" t="s">
        <v>1</v>
      </c>
      <c r="HC484" t="s">
        <v>1</v>
      </c>
      <c r="HD484" t="s">
        <v>1</v>
      </c>
      <c r="HE484" t="s">
        <v>1</v>
      </c>
      <c r="HF484" s="5" t="s">
        <v>1063</v>
      </c>
      <c r="HG484" s="4">
        <v>0.3</v>
      </c>
      <c r="HH484">
        <v>0</v>
      </c>
      <c r="HI484">
        <v>30</v>
      </c>
      <c r="HJ484" s="26" t="s">
        <v>1358</v>
      </c>
      <c r="HK484" t="s">
        <v>1</v>
      </c>
      <c r="HL484" t="s">
        <v>1</v>
      </c>
      <c r="HM484" t="s">
        <v>1</v>
      </c>
      <c r="HN484" t="s">
        <v>1</v>
      </c>
      <c r="HO484" t="s">
        <v>1</v>
      </c>
      <c r="HP484" t="s">
        <v>1</v>
      </c>
      <c r="HZ484" t="s">
        <v>968</v>
      </c>
      <c r="IA484">
        <v>120</v>
      </c>
      <c r="IB484" s="10" t="s">
        <v>1</v>
      </c>
      <c r="IC484" s="10"/>
      <c r="ID484" s="10"/>
      <c r="IE484" s="10" t="s">
        <v>1</v>
      </c>
      <c r="IF484" s="10" t="s">
        <v>1</v>
      </c>
      <c r="IG484" s="10"/>
      <c r="IH484" s="10"/>
      <c r="II484" s="10"/>
      <c r="IJ484" s="10"/>
      <c r="IK484" s="10"/>
      <c r="IL484" s="10"/>
      <c r="IM484" s="10"/>
      <c r="IN484" s="10"/>
      <c r="IO484" s="10"/>
      <c r="IP484" s="10"/>
      <c r="IQ484" s="10"/>
      <c r="IR484" s="10"/>
      <c r="IS484" t="s">
        <v>1</v>
      </c>
      <c r="IT484" t="s">
        <v>1</v>
      </c>
      <c r="IW484" t="s">
        <v>1</v>
      </c>
      <c r="IX484" t="s">
        <v>1</v>
      </c>
      <c r="IY484" t="s">
        <v>1</v>
      </c>
      <c r="IZ484" t="s">
        <v>1</v>
      </c>
      <c r="JA484" t="s">
        <v>1</v>
      </c>
      <c r="JB484" s="3" t="s">
        <v>1</v>
      </c>
      <c r="JC484" t="s">
        <v>1</v>
      </c>
      <c r="JD484" s="4" t="s">
        <v>1</v>
      </c>
      <c r="JE484" t="s">
        <v>1</v>
      </c>
      <c r="JF484" t="s">
        <v>1</v>
      </c>
      <c r="JR484" t="s">
        <v>1066</v>
      </c>
      <c r="JS484">
        <v>197.3</v>
      </c>
      <c r="JU484" t="s">
        <v>1</v>
      </c>
      <c r="JW484" t="s">
        <v>842</v>
      </c>
      <c r="JX484">
        <v>0</v>
      </c>
      <c r="JY484">
        <v>60</v>
      </c>
      <c r="JZ484" t="s">
        <v>800</v>
      </c>
      <c r="KA484" t="s">
        <v>544</v>
      </c>
      <c r="KB484" t="s">
        <v>738</v>
      </c>
      <c r="KC484" t="s">
        <v>1067</v>
      </c>
      <c r="KD484" s="1">
        <v>0</v>
      </c>
      <c r="KE484" s="11" t="s">
        <v>1</v>
      </c>
      <c r="KF484" s="11" t="s">
        <v>1</v>
      </c>
      <c r="KG484">
        <v>0</v>
      </c>
      <c r="KH484">
        <v>60</v>
      </c>
      <c r="KI484" t="s">
        <v>800</v>
      </c>
      <c r="KJ484" t="s">
        <v>544</v>
      </c>
      <c r="KK484" t="s">
        <v>738</v>
      </c>
    </row>
    <row r="485" spans="1:297" x14ac:dyDescent="0.2">
      <c r="A485">
        <v>453</v>
      </c>
      <c r="B485" t="s">
        <v>705</v>
      </c>
      <c r="C485" t="s">
        <v>556</v>
      </c>
      <c r="D485" t="s">
        <v>541</v>
      </c>
      <c r="E485">
        <v>76</v>
      </c>
      <c r="F485" t="s">
        <v>542</v>
      </c>
      <c r="G485" t="s">
        <v>1</v>
      </c>
      <c r="H485" s="26" t="s">
        <v>1420</v>
      </c>
      <c r="I485" t="s">
        <v>1</v>
      </c>
      <c r="J485" t="s">
        <v>1</v>
      </c>
      <c r="K485" t="s">
        <v>1</v>
      </c>
      <c r="L485" t="s">
        <v>1</v>
      </c>
      <c r="M485" t="s">
        <v>1</v>
      </c>
      <c r="N485" t="s">
        <v>1</v>
      </c>
      <c r="O485" t="s">
        <v>1</v>
      </c>
      <c r="P485" t="s">
        <v>1</v>
      </c>
      <c r="Q485" t="s">
        <v>1</v>
      </c>
      <c r="R485" t="s">
        <v>1</v>
      </c>
      <c r="S485" t="s">
        <v>1</v>
      </c>
      <c r="T485" t="s">
        <v>1</v>
      </c>
      <c r="U485" t="s">
        <v>1</v>
      </c>
      <c r="V485" t="s">
        <v>1</v>
      </c>
      <c r="W485" t="s">
        <v>1</v>
      </c>
      <c r="X485" t="s">
        <v>1</v>
      </c>
      <c r="Y485" t="s">
        <v>1</v>
      </c>
      <c r="Z485" t="s">
        <v>1</v>
      </c>
      <c r="AA485" t="s">
        <v>1</v>
      </c>
      <c r="AB485" t="s">
        <v>1</v>
      </c>
      <c r="AC485" t="s">
        <v>1</v>
      </c>
      <c r="AD485" t="s">
        <v>1</v>
      </c>
      <c r="AE485" t="s">
        <v>1</v>
      </c>
      <c r="AF485" t="s">
        <v>1</v>
      </c>
      <c r="AG485" t="s">
        <v>1</v>
      </c>
      <c r="AH485" t="s">
        <v>1</v>
      </c>
      <c r="AI485" t="s">
        <v>1</v>
      </c>
      <c r="AJ485" t="s">
        <v>1</v>
      </c>
      <c r="AK485" t="s">
        <v>1</v>
      </c>
      <c r="AL485" t="s">
        <v>1</v>
      </c>
      <c r="AM485" t="s">
        <v>1</v>
      </c>
      <c r="AN485">
        <v>453</v>
      </c>
      <c r="AO485">
        <f t="shared" si="59"/>
        <v>453</v>
      </c>
      <c r="AP485">
        <f t="shared" si="62"/>
        <v>76</v>
      </c>
      <c r="AQ485">
        <f t="shared" si="63"/>
        <v>76</v>
      </c>
      <c r="AR485" s="26" t="s">
        <v>1355</v>
      </c>
      <c r="AS485" s="26" t="s">
        <v>1356</v>
      </c>
      <c r="AT485" t="s">
        <v>716</v>
      </c>
      <c r="AU485" t="s">
        <v>1</v>
      </c>
      <c r="AV485" t="s">
        <v>1</v>
      </c>
      <c r="AW485">
        <v>53.92</v>
      </c>
      <c r="AX485">
        <v>9.9499999999999993</v>
      </c>
      <c r="AY485" t="s">
        <v>737</v>
      </c>
      <c r="BA485" s="3">
        <v>4</v>
      </c>
      <c r="BB485" s="3"/>
      <c r="BC485" s="3"/>
      <c r="BD485" s="3"/>
      <c r="BE485" s="3"/>
      <c r="BF485">
        <v>2009</v>
      </c>
      <c r="BG485" s="24" t="s">
        <v>733</v>
      </c>
      <c r="BH485" s="24" t="s">
        <v>733</v>
      </c>
      <c r="BI485" s="24" t="s">
        <v>733</v>
      </c>
      <c r="BJ485" s="24" t="s">
        <v>732</v>
      </c>
      <c r="BK485" s="24" t="s">
        <v>733</v>
      </c>
      <c r="BL485" s="25" t="s">
        <v>733</v>
      </c>
      <c r="BM485" s="24" t="s">
        <v>733</v>
      </c>
      <c r="BN485" s="24" t="s">
        <v>732</v>
      </c>
      <c r="BO485" s="24" t="s">
        <v>733</v>
      </c>
      <c r="BP485" s="24" t="s">
        <v>733</v>
      </c>
      <c r="BQ485" s="24" t="s">
        <v>945</v>
      </c>
      <c r="BR485" s="24" t="s">
        <v>945</v>
      </c>
      <c r="BS485" s="25" t="s">
        <v>934</v>
      </c>
      <c r="BT485" s="24" t="s">
        <v>934</v>
      </c>
      <c r="BU485" s="24" t="s">
        <v>934</v>
      </c>
      <c r="BV485" s="24" t="s">
        <v>934</v>
      </c>
      <c r="BW485" s="24" t="s">
        <v>934</v>
      </c>
      <c r="BX485" s="24" t="s">
        <v>934</v>
      </c>
      <c r="BY485" s="25" t="s">
        <v>945</v>
      </c>
      <c r="BZ485" t="s">
        <v>5</v>
      </c>
      <c r="CB485" t="s">
        <v>1</v>
      </c>
      <c r="CC485" s="4" t="s">
        <v>1</v>
      </c>
      <c r="CD485" s="4"/>
      <c r="CE485" s="4"/>
      <c r="CF485" t="s">
        <v>1</v>
      </c>
      <c r="CG485" t="s">
        <v>1</v>
      </c>
      <c r="CH485" t="s">
        <v>805</v>
      </c>
      <c r="CI485" s="28">
        <v>1</v>
      </c>
      <c r="CJ485" s="9" t="s">
        <v>1</v>
      </c>
      <c r="CK485" s="9" t="s">
        <v>1</v>
      </c>
      <c r="CL485" s="4" t="s">
        <v>1</v>
      </c>
      <c r="CM485" t="s">
        <v>847</v>
      </c>
      <c r="CN485" s="4">
        <v>205.31696015255</v>
      </c>
      <c r="CO485" s="4" t="s">
        <v>1</v>
      </c>
      <c r="CP485" s="4" t="s">
        <v>1</v>
      </c>
      <c r="CQ485" s="4" t="s">
        <v>1</v>
      </c>
      <c r="CR485" s="4" t="s">
        <v>1</v>
      </c>
      <c r="CS485" s="4" t="s">
        <v>1</v>
      </c>
      <c r="CT485" s="4" t="s">
        <v>1</v>
      </c>
      <c r="CU485" s="4" t="s">
        <v>1</v>
      </c>
      <c r="CV485" t="s">
        <v>853</v>
      </c>
      <c r="CW485">
        <v>100</v>
      </c>
      <c r="CX485">
        <v>0</v>
      </c>
      <c r="CY485">
        <v>30</v>
      </c>
      <c r="CZ485" s="26" t="s">
        <v>1358</v>
      </c>
      <c r="DA485" t="s">
        <v>734</v>
      </c>
      <c r="DB485">
        <v>91</v>
      </c>
      <c r="DC485">
        <v>0</v>
      </c>
      <c r="DD485">
        <v>30</v>
      </c>
      <c r="DE485" s="26" t="s">
        <v>1358</v>
      </c>
      <c r="DF485" t="s">
        <v>735</v>
      </c>
      <c r="DG485">
        <v>5</v>
      </c>
      <c r="DH485">
        <v>0</v>
      </c>
      <c r="DI485">
        <v>30</v>
      </c>
      <c r="DJ485" s="26" t="s">
        <v>1358</v>
      </c>
      <c r="DK485" t="s">
        <v>736</v>
      </c>
      <c r="DL485">
        <v>4</v>
      </c>
      <c r="DM485">
        <v>0</v>
      </c>
      <c r="DN485">
        <v>30</v>
      </c>
      <c r="DO485" s="26" t="s">
        <v>1358</v>
      </c>
      <c r="DP485" t="s">
        <v>6</v>
      </c>
      <c r="DQ485" t="s">
        <v>1</v>
      </c>
      <c r="DR485">
        <v>4.8</v>
      </c>
      <c r="DS485">
        <v>0</v>
      </c>
      <c r="DT485">
        <v>30</v>
      </c>
      <c r="DU485" s="26" t="s">
        <v>1358</v>
      </c>
      <c r="EA485" t="s">
        <v>982</v>
      </c>
      <c r="EB485">
        <v>7.5</v>
      </c>
      <c r="EC485">
        <v>0</v>
      </c>
      <c r="ED485">
        <v>30</v>
      </c>
      <c r="EE485" s="26" t="s">
        <v>1358</v>
      </c>
      <c r="EF485" s="26"/>
      <c r="FZ485" t="s">
        <v>806</v>
      </c>
      <c r="GA485">
        <v>881.5</v>
      </c>
      <c r="GE485" s="26" t="s">
        <v>1358</v>
      </c>
      <c r="HA485" s="5" t="s">
        <v>1</v>
      </c>
      <c r="HB485" s="4" t="s">
        <v>1</v>
      </c>
      <c r="HC485" t="s">
        <v>1</v>
      </c>
      <c r="HD485" t="s">
        <v>1</v>
      </c>
      <c r="HE485" t="s">
        <v>1</v>
      </c>
      <c r="HF485" s="5" t="s">
        <v>1063</v>
      </c>
      <c r="HG485" s="4">
        <v>0.3</v>
      </c>
      <c r="HH485">
        <v>0</v>
      </c>
      <c r="HI485">
        <v>30</v>
      </c>
      <c r="HJ485" s="26" t="s">
        <v>1358</v>
      </c>
      <c r="HK485" t="s">
        <v>1</v>
      </c>
      <c r="HL485" t="s">
        <v>1</v>
      </c>
      <c r="HM485" t="s">
        <v>1</v>
      </c>
      <c r="HN485" t="s">
        <v>1</v>
      </c>
      <c r="HO485" t="s">
        <v>1</v>
      </c>
      <c r="HP485" t="s">
        <v>1</v>
      </c>
      <c r="HZ485" t="s">
        <v>968</v>
      </c>
      <c r="IA485">
        <v>240</v>
      </c>
      <c r="IB485" s="10" t="s">
        <v>1</v>
      </c>
      <c r="IC485" s="10"/>
      <c r="ID485" s="10"/>
      <c r="IE485" s="10" t="s">
        <v>1</v>
      </c>
      <c r="IF485" s="10" t="s">
        <v>1</v>
      </c>
      <c r="IG485" s="10"/>
      <c r="IH485" s="10"/>
      <c r="II485" s="10"/>
      <c r="IJ485" s="10"/>
      <c r="IK485" s="10"/>
      <c r="IL485" s="10"/>
      <c r="IM485" s="10"/>
      <c r="IN485" s="10"/>
      <c r="IO485" s="10"/>
      <c r="IP485" s="10"/>
      <c r="IQ485" s="10"/>
      <c r="IR485" s="10"/>
      <c r="IS485" t="s">
        <v>1</v>
      </c>
      <c r="IT485" t="s">
        <v>1</v>
      </c>
      <c r="IW485" t="s">
        <v>1</v>
      </c>
      <c r="IX485" t="s">
        <v>1</v>
      </c>
      <c r="IY485" t="s">
        <v>1</v>
      </c>
      <c r="IZ485" t="s">
        <v>1</v>
      </c>
      <c r="JA485" t="s">
        <v>1</v>
      </c>
      <c r="JB485" s="3" t="s">
        <v>1</v>
      </c>
      <c r="JC485" t="s">
        <v>1</v>
      </c>
      <c r="JD485" s="4" t="s">
        <v>1</v>
      </c>
      <c r="JE485" t="s">
        <v>1</v>
      </c>
      <c r="JF485" t="s">
        <v>1</v>
      </c>
      <c r="JR485" t="s">
        <v>1066</v>
      </c>
      <c r="JS485">
        <v>556</v>
      </c>
      <c r="JU485" t="s">
        <v>1</v>
      </c>
      <c r="JW485" t="s">
        <v>842</v>
      </c>
      <c r="JX485">
        <v>0</v>
      </c>
      <c r="JY485">
        <v>60</v>
      </c>
      <c r="JZ485" t="s">
        <v>800</v>
      </c>
      <c r="KA485" t="s">
        <v>544</v>
      </c>
      <c r="KB485" t="s">
        <v>738</v>
      </c>
      <c r="KC485" t="s">
        <v>1067</v>
      </c>
      <c r="KD485" s="1">
        <f t="shared" ref="KD485:KD489" si="64">0.1/5.9*JS485</f>
        <v>9.4237288135593218</v>
      </c>
      <c r="KE485" s="11" t="s">
        <v>1</v>
      </c>
      <c r="KF485" s="11" t="s">
        <v>1</v>
      </c>
      <c r="KG485">
        <v>0</v>
      </c>
      <c r="KH485">
        <v>60</v>
      </c>
      <c r="KI485" t="s">
        <v>800</v>
      </c>
      <c r="KJ485" t="s">
        <v>544</v>
      </c>
      <c r="KK485" t="s">
        <v>738</v>
      </c>
    </row>
    <row r="486" spans="1:297" x14ac:dyDescent="0.2">
      <c r="A486">
        <v>454</v>
      </c>
      <c r="B486" t="s">
        <v>705</v>
      </c>
      <c r="C486" t="s">
        <v>557</v>
      </c>
      <c r="D486" t="s">
        <v>541</v>
      </c>
      <c r="E486">
        <v>76</v>
      </c>
      <c r="F486" t="s">
        <v>542</v>
      </c>
      <c r="G486" t="s">
        <v>1</v>
      </c>
      <c r="H486" s="26" t="s">
        <v>1420</v>
      </c>
      <c r="I486" t="s">
        <v>1</v>
      </c>
      <c r="J486" t="s">
        <v>1</v>
      </c>
      <c r="K486" t="s">
        <v>1</v>
      </c>
      <c r="L486" t="s">
        <v>1</v>
      </c>
      <c r="M486" t="s">
        <v>1</v>
      </c>
      <c r="N486" t="s">
        <v>1</v>
      </c>
      <c r="O486" t="s">
        <v>1</v>
      </c>
      <c r="P486" t="s">
        <v>1</v>
      </c>
      <c r="Q486" t="s">
        <v>1</v>
      </c>
      <c r="R486" t="s">
        <v>1</v>
      </c>
      <c r="S486" t="s">
        <v>1</v>
      </c>
      <c r="T486" t="s">
        <v>1</v>
      </c>
      <c r="U486" t="s">
        <v>1</v>
      </c>
      <c r="V486" t="s">
        <v>1</v>
      </c>
      <c r="W486" t="s">
        <v>1</v>
      </c>
      <c r="X486" t="s">
        <v>1</v>
      </c>
      <c r="Y486" t="s">
        <v>1</v>
      </c>
      <c r="Z486" t="s">
        <v>1</v>
      </c>
      <c r="AA486" t="s">
        <v>1</v>
      </c>
      <c r="AB486" t="s">
        <v>1</v>
      </c>
      <c r="AC486" t="s">
        <v>1</v>
      </c>
      <c r="AD486" t="s">
        <v>1</v>
      </c>
      <c r="AE486" t="s">
        <v>1</v>
      </c>
      <c r="AF486" t="s">
        <v>1</v>
      </c>
      <c r="AG486" t="s">
        <v>1</v>
      </c>
      <c r="AH486" t="s">
        <v>1</v>
      </c>
      <c r="AI486" t="s">
        <v>1</v>
      </c>
      <c r="AJ486" t="s">
        <v>1</v>
      </c>
      <c r="AK486" t="s">
        <v>1</v>
      </c>
      <c r="AL486" t="s">
        <v>1</v>
      </c>
      <c r="AM486" t="s">
        <v>1</v>
      </c>
      <c r="AN486">
        <v>454</v>
      </c>
      <c r="AO486">
        <f t="shared" si="59"/>
        <v>454</v>
      </c>
      <c r="AP486">
        <f t="shared" si="62"/>
        <v>76</v>
      </c>
      <c r="AQ486">
        <f t="shared" si="63"/>
        <v>76</v>
      </c>
      <c r="AR486" s="26" t="s">
        <v>1355</v>
      </c>
      <c r="AS486" s="26" t="s">
        <v>1356</v>
      </c>
      <c r="AT486" t="s">
        <v>716</v>
      </c>
      <c r="AU486" t="s">
        <v>1</v>
      </c>
      <c r="AV486" t="s">
        <v>1</v>
      </c>
      <c r="AW486">
        <v>53.92</v>
      </c>
      <c r="AX486">
        <v>9.9499999999999993</v>
      </c>
      <c r="AY486" t="s">
        <v>737</v>
      </c>
      <c r="BA486" s="3">
        <v>4</v>
      </c>
      <c r="BB486" s="3"/>
      <c r="BC486" s="3"/>
      <c r="BD486" s="3"/>
      <c r="BE486" s="3"/>
      <c r="BF486">
        <v>2009</v>
      </c>
      <c r="BG486" s="24" t="s">
        <v>733</v>
      </c>
      <c r="BH486" s="24" t="s">
        <v>733</v>
      </c>
      <c r="BI486" s="24" t="s">
        <v>733</v>
      </c>
      <c r="BJ486" s="24" t="s">
        <v>732</v>
      </c>
      <c r="BK486" s="24" t="s">
        <v>733</v>
      </c>
      <c r="BL486" s="25" t="s">
        <v>733</v>
      </c>
      <c r="BM486" s="24" t="s">
        <v>733</v>
      </c>
      <c r="BN486" s="24" t="s">
        <v>732</v>
      </c>
      <c r="BO486" s="24" t="s">
        <v>733</v>
      </c>
      <c r="BP486" s="24" t="s">
        <v>733</v>
      </c>
      <c r="BQ486" s="24" t="s">
        <v>945</v>
      </c>
      <c r="BR486" s="24" t="s">
        <v>945</v>
      </c>
      <c r="BS486" s="25" t="s">
        <v>934</v>
      </c>
      <c r="BT486" s="24" t="s">
        <v>934</v>
      </c>
      <c r="BU486" s="24" t="s">
        <v>934</v>
      </c>
      <c r="BV486" s="24" t="s">
        <v>934</v>
      </c>
      <c r="BW486" s="24" t="s">
        <v>934</v>
      </c>
      <c r="BX486" s="24" t="s">
        <v>934</v>
      </c>
      <c r="BY486" s="25" t="s">
        <v>945</v>
      </c>
      <c r="BZ486" t="s">
        <v>5</v>
      </c>
      <c r="CB486" t="s">
        <v>1</v>
      </c>
      <c r="CC486" s="4" t="s">
        <v>1</v>
      </c>
      <c r="CD486" s="4"/>
      <c r="CE486" s="4"/>
      <c r="CF486" t="s">
        <v>1</v>
      </c>
      <c r="CG486" t="s">
        <v>1</v>
      </c>
      <c r="CH486" t="s">
        <v>805</v>
      </c>
      <c r="CI486" s="28">
        <v>1</v>
      </c>
      <c r="CJ486" s="9" t="s">
        <v>1</v>
      </c>
      <c r="CK486" s="9" t="s">
        <v>1</v>
      </c>
      <c r="CL486" s="4" t="s">
        <v>1</v>
      </c>
      <c r="CM486" t="s">
        <v>847</v>
      </c>
      <c r="CN486" s="4">
        <v>212.930920488005</v>
      </c>
      <c r="CO486" s="4" t="s">
        <v>1</v>
      </c>
      <c r="CP486" s="4" t="s">
        <v>1</v>
      </c>
      <c r="CQ486" s="4" t="s">
        <v>1</v>
      </c>
      <c r="CR486" s="4" t="s">
        <v>1</v>
      </c>
      <c r="CS486" s="4" t="s">
        <v>1</v>
      </c>
      <c r="CT486" s="4" t="s">
        <v>1</v>
      </c>
      <c r="CU486" s="4" t="s">
        <v>1</v>
      </c>
      <c r="CV486" t="s">
        <v>853</v>
      </c>
      <c r="CW486">
        <v>100</v>
      </c>
      <c r="CX486">
        <v>0</v>
      </c>
      <c r="CY486">
        <v>30</v>
      </c>
      <c r="CZ486" s="26" t="s">
        <v>1358</v>
      </c>
      <c r="DA486" t="s">
        <v>734</v>
      </c>
      <c r="DB486">
        <v>91</v>
      </c>
      <c r="DC486">
        <v>0</v>
      </c>
      <c r="DD486">
        <v>30</v>
      </c>
      <c r="DE486" s="26" t="s">
        <v>1358</v>
      </c>
      <c r="DF486" t="s">
        <v>735</v>
      </c>
      <c r="DG486">
        <v>5</v>
      </c>
      <c r="DH486">
        <v>0</v>
      </c>
      <c r="DI486">
        <v>30</v>
      </c>
      <c r="DJ486" s="26" t="s">
        <v>1358</v>
      </c>
      <c r="DK486" t="s">
        <v>736</v>
      </c>
      <c r="DL486">
        <v>4</v>
      </c>
      <c r="DM486">
        <v>0</v>
      </c>
      <c r="DN486">
        <v>30</v>
      </c>
      <c r="DO486" s="26" t="s">
        <v>1358</v>
      </c>
      <c r="DP486" t="s">
        <v>6</v>
      </c>
      <c r="DQ486" t="s">
        <v>1</v>
      </c>
      <c r="DR486">
        <v>4.8</v>
      </c>
      <c r="DS486">
        <v>0</v>
      </c>
      <c r="DT486">
        <v>30</v>
      </c>
      <c r="DU486" s="26" t="s">
        <v>1358</v>
      </c>
      <c r="EA486" t="s">
        <v>982</v>
      </c>
      <c r="EB486">
        <v>7.5</v>
      </c>
      <c r="EC486">
        <v>0</v>
      </c>
      <c r="ED486">
        <v>30</v>
      </c>
      <c r="EE486" s="26" t="s">
        <v>1358</v>
      </c>
      <c r="EF486" s="26"/>
      <c r="FZ486" t="s">
        <v>806</v>
      </c>
      <c r="GA486">
        <v>881.5</v>
      </c>
      <c r="GE486" s="26" t="s">
        <v>1358</v>
      </c>
      <c r="HA486" s="5" t="s">
        <v>1</v>
      </c>
      <c r="HB486" s="4" t="s">
        <v>1</v>
      </c>
      <c r="HC486" t="s">
        <v>1</v>
      </c>
      <c r="HD486" t="s">
        <v>1</v>
      </c>
      <c r="HE486" t="s">
        <v>1</v>
      </c>
      <c r="HF486" s="5" t="s">
        <v>1063</v>
      </c>
      <c r="HG486" s="4">
        <v>0.3</v>
      </c>
      <c r="HH486">
        <v>0</v>
      </c>
      <c r="HI486">
        <v>30</v>
      </c>
      <c r="HJ486" s="26" t="s">
        <v>1358</v>
      </c>
      <c r="HK486" t="s">
        <v>1</v>
      </c>
      <c r="HL486" t="s">
        <v>1</v>
      </c>
      <c r="HM486" t="s">
        <v>1</v>
      </c>
      <c r="HN486" t="s">
        <v>1</v>
      </c>
      <c r="HO486" t="s">
        <v>1</v>
      </c>
      <c r="HP486" t="s">
        <v>1</v>
      </c>
      <c r="HZ486" t="s">
        <v>968</v>
      </c>
      <c r="IA486">
        <v>360</v>
      </c>
      <c r="IB486" s="10" t="s">
        <v>1</v>
      </c>
      <c r="IC486" s="10"/>
      <c r="ID486" s="10"/>
      <c r="IE486" s="10" t="s">
        <v>1</v>
      </c>
      <c r="IF486" s="10" t="s">
        <v>1</v>
      </c>
      <c r="IG486" s="10"/>
      <c r="IH486" s="10"/>
      <c r="II486" s="10"/>
      <c r="IJ486" s="10"/>
      <c r="IK486" s="10"/>
      <c r="IL486" s="10"/>
      <c r="IM486" s="10"/>
      <c r="IN486" s="10"/>
      <c r="IO486" s="10"/>
      <c r="IP486" s="10"/>
      <c r="IQ486" s="10"/>
      <c r="IR486" s="10"/>
      <c r="IS486" t="s">
        <v>1</v>
      </c>
      <c r="IT486" t="s">
        <v>1</v>
      </c>
      <c r="IW486" t="s">
        <v>1</v>
      </c>
      <c r="IX486" t="s">
        <v>1</v>
      </c>
      <c r="IY486" t="s">
        <v>1</v>
      </c>
      <c r="IZ486" t="s">
        <v>1</v>
      </c>
      <c r="JA486" t="s">
        <v>1</v>
      </c>
      <c r="JB486" s="3" t="s">
        <v>1</v>
      </c>
      <c r="JC486" t="s">
        <v>1</v>
      </c>
      <c r="JD486" s="4" t="s">
        <v>1</v>
      </c>
      <c r="JE486" t="s">
        <v>1</v>
      </c>
      <c r="JF486" t="s">
        <v>1</v>
      </c>
      <c r="JR486" t="s">
        <v>1066</v>
      </c>
      <c r="JS486">
        <v>774.7</v>
      </c>
      <c r="JU486" t="s">
        <v>1</v>
      </c>
      <c r="JW486" t="s">
        <v>842</v>
      </c>
      <c r="JX486">
        <v>0</v>
      </c>
      <c r="JY486">
        <v>60</v>
      </c>
      <c r="JZ486" t="s">
        <v>800</v>
      </c>
      <c r="KA486" t="s">
        <v>544</v>
      </c>
      <c r="KB486" t="s">
        <v>738</v>
      </c>
      <c r="KC486" t="s">
        <v>1067</v>
      </c>
      <c r="KD486" s="1">
        <f t="shared" si="64"/>
        <v>13.130508474576272</v>
      </c>
      <c r="KE486" s="11" t="s">
        <v>1</v>
      </c>
      <c r="KF486" s="11" t="s">
        <v>1</v>
      </c>
      <c r="KG486">
        <v>0</v>
      </c>
      <c r="KH486">
        <v>60</v>
      </c>
      <c r="KI486" t="s">
        <v>800</v>
      </c>
      <c r="KJ486" t="s">
        <v>544</v>
      </c>
      <c r="KK486" t="s">
        <v>738</v>
      </c>
    </row>
    <row r="487" spans="1:297" x14ac:dyDescent="0.2">
      <c r="A487">
        <v>455</v>
      </c>
      <c r="B487" t="s">
        <v>705</v>
      </c>
      <c r="C487" t="s">
        <v>558</v>
      </c>
      <c r="D487" t="s">
        <v>541</v>
      </c>
      <c r="E487">
        <v>76</v>
      </c>
      <c r="F487" t="s">
        <v>542</v>
      </c>
      <c r="G487" t="s">
        <v>1</v>
      </c>
      <c r="H487" s="26" t="s">
        <v>1420</v>
      </c>
      <c r="I487" t="s">
        <v>1</v>
      </c>
      <c r="J487" t="s">
        <v>1</v>
      </c>
      <c r="K487" t="s">
        <v>1</v>
      </c>
      <c r="L487" t="s">
        <v>1</v>
      </c>
      <c r="M487" t="s">
        <v>1</v>
      </c>
      <c r="N487" t="s">
        <v>1</v>
      </c>
      <c r="O487" t="s">
        <v>1</v>
      </c>
      <c r="P487" t="s">
        <v>1</v>
      </c>
      <c r="Q487" t="s">
        <v>1</v>
      </c>
      <c r="R487" t="s">
        <v>1</v>
      </c>
      <c r="S487" t="s">
        <v>1</v>
      </c>
      <c r="T487" t="s">
        <v>1</v>
      </c>
      <c r="U487" t="s">
        <v>1</v>
      </c>
      <c r="V487" t="s">
        <v>1</v>
      </c>
      <c r="W487" t="s">
        <v>1</v>
      </c>
      <c r="X487" t="s">
        <v>1</v>
      </c>
      <c r="Y487" t="s">
        <v>1</v>
      </c>
      <c r="Z487" t="s">
        <v>1</v>
      </c>
      <c r="AA487" t="s">
        <v>1</v>
      </c>
      <c r="AB487" t="s">
        <v>1</v>
      </c>
      <c r="AC487" t="s">
        <v>1</v>
      </c>
      <c r="AD487" t="s">
        <v>1</v>
      </c>
      <c r="AE487" t="s">
        <v>1</v>
      </c>
      <c r="AF487" t="s">
        <v>1</v>
      </c>
      <c r="AG487" t="s">
        <v>1</v>
      </c>
      <c r="AH487" t="s">
        <v>1</v>
      </c>
      <c r="AI487" t="s">
        <v>1</v>
      </c>
      <c r="AJ487" t="s">
        <v>1</v>
      </c>
      <c r="AK487" t="s">
        <v>1</v>
      </c>
      <c r="AL487" t="s">
        <v>1</v>
      </c>
      <c r="AM487" t="s">
        <v>1</v>
      </c>
      <c r="AN487">
        <v>455</v>
      </c>
      <c r="AO487">
        <f t="shared" si="59"/>
        <v>455</v>
      </c>
      <c r="AP487">
        <f t="shared" si="62"/>
        <v>76</v>
      </c>
      <c r="AQ487">
        <f t="shared" si="63"/>
        <v>76</v>
      </c>
      <c r="AR487" s="26" t="s">
        <v>1355</v>
      </c>
      <c r="AS487" s="26" t="s">
        <v>1356</v>
      </c>
      <c r="AT487" t="s">
        <v>716</v>
      </c>
      <c r="AU487" t="s">
        <v>1</v>
      </c>
      <c r="AV487" t="s">
        <v>1</v>
      </c>
      <c r="AW487">
        <v>53.92</v>
      </c>
      <c r="AX487">
        <v>9.9499999999999993</v>
      </c>
      <c r="AY487" t="s">
        <v>737</v>
      </c>
      <c r="BA487" s="3">
        <v>4</v>
      </c>
      <c r="BB487" s="3"/>
      <c r="BC487" s="3"/>
      <c r="BD487" s="3"/>
      <c r="BE487" s="3"/>
      <c r="BF487">
        <v>2009</v>
      </c>
      <c r="BG487" s="24" t="s">
        <v>733</v>
      </c>
      <c r="BH487" s="24" t="s">
        <v>733</v>
      </c>
      <c r="BI487" s="24" t="s">
        <v>733</v>
      </c>
      <c r="BJ487" s="24" t="s">
        <v>732</v>
      </c>
      <c r="BK487" s="24" t="s">
        <v>733</v>
      </c>
      <c r="BL487" s="25" t="s">
        <v>733</v>
      </c>
      <c r="BM487" s="24" t="s">
        <v>733</v>
      </c>
      <c r="BN487" s="24" t="s">
        <v>732</v>
      </c>
      <c r="BO487" s="24" t="s">
        <v>733</v>
      </c>
      <c r="BP487" s="24" t="s">
        <v>733</v>
      </c>
      <c r="BQ487" s="24" t="s">
        <v>945</v>
      </c>
      <c r="BR487" s="24" t="s">
        <v>945</v>
      </c>
      <c r="BS487" s="25" t="s">
        <v>934</v>
      </c>
      <c r="BT487" s="24" t="s">
        <v>934</v>
      </c>
      <c r="BU487" s="24" t="s">
        <v>934</v>
      </c>
      <c r="BV487" s="24" t="s">
        <v>934</v>
      </c>
      <c r="BW487" s="24" t="s">
        <v>934</v>
      </c>
      <c r="BX487" s="24" t="s">
        <v>934</v>
      </c>
      <c r="BY487" s="25" t="s">
        <v>945</v>
      </c>
      <c r="BZ487" t="s">
        <v>5</v>
      </c>
      <c r="CB487" t="s">
        <v>1</v>
      </c>
      <c r="CC487" s="4" t="s">
        <v>1</v>
      </c>
      <c r="CD487" s="4"/>
      <c r="CE487" s="4"/>
      <c r="CF487" t="s">
        <v>1</v>
      </c>
      <c r="CG487" t="s">
        <v>1</v>
      </c>
      <c r="CH487" t="s">
        <v>805</v>
      </c>
      <c r="CI487" s="28">
        <v>1</v>
      </c>
      <c r="CJ487" s="9" t="s">
        <v>1</v>
      </c>
      <c r="CK487" s="9" t="s">
        <v>1</v>
      </c>
      <c r="CL487" s="4" t="s">
        <v>1</v>
      </c>
      <c r="CM487" t="s">
        <v>847</v>
      </c>
      <c r="CN487" s="4">
        <v>129.19543984907341</v>
      </c>
      <c r="CO487" s="4" t="s">
        <v>1</v>
      </c>
      <c r="CP487" s="4" t="s">
        <v>1</v>
      </c>
      <c r="CQ487" s="4" t="s">
        <v>1</v>
      </c>
      <c r="CR487" s="4" t="s">
        <v>1</v>
      </c>
      <c r="CS487" s="4" t="s">
        <v>1</v>
      </c>
      <c r="CT487" s="4" t="s">
        <v>1</v>
      </c>
      <c r="CU487" s="4" t="s">
        <v>1</v>
      </c>
      <c r="CV487" t="s">
        <v>853</v>
      </c>
      <c r="CW487">
        <v>100</v>
      </c>
      <c r="CX487">
        <v>0</v>
      </c>
      <c r="CY487">
        <v>30</v>
      </c>
      <c r="CZ487" s="26" t="s">
        <v>1358</v>
      </c>
      <c r="DA487" t="s">
        <v>734</v>
      </c>
      <c r="DB487">
        <v>91</v>
      </c>
      <c r="DC487">
        <v>0</v>
      </c>
      <c r="DD487">
        <v>30</v>
      </c>
      <c r="DE487" s="26" t="s">
        <v>1358</v>
      </c>
      <c r="DF487" t="s">
        <v>735</v>
      </c>
      <c r="DG487">
        <v>5</v>
      </c>
      <c r="DH487">
        <v>0</v>
      </c>
      <c r="DI487">
        <v>30</v>
      </c>
      <c r="DJ487" s="26" t="s">
        <v>1358</v>
      </c>
      <c r="DK487" t="s">
        <v>736</v>
      </c>
      <c r="DL487">
        <v>4</v>
      </c>
      <c r="DM487">
        <v>0</v>
      </c>
      <c r="DN487">
        <v>30</v>
      </c>
      <c r="DO487" s="26" t="s">
        <v>1358</v>
      </c>
      <c r="DP487" t="s">
        <v>6</v>
      </c>
      <c r="DQ487" t="s">
        <v>1</v>
      </c>
      <c r="DR487">
        <v>4.8</v>
      </c>
      <c r="DS487">
        <v>0</v>
      </c>
      <c r="DT487">
        <v>30</v>
      </c>
      <c r="DU487" s="26" t="s">
        <v>1358</v>
      </c>
      <c r="EA487" t="s">
        <v>982</v>
      </c>
      <c r="EB487">
        <v>7.5</v>
      </c>
      <c r="EC487">
        <v>0</v>
      </c>
      <c r="ED487">
        <v>30</v>
      </c>
      <c r="EE487" s="26" t="s">
        <v>1358</v>
      </c>
      <c r="EF487" s="26"/>
      <c r="FZ487" t="s">
        <v>806</v>
      </c>
      <c r="GA487">
        <v>881.5</v>
      </c>
      <c r="GE487" s="26" t="s">
        <v>1358</v>
      </c>
      <c r="HA487" s="5" t="s">
        <v>1</v>
      </c>
      <c r="HB487" s="4" t="s">
        <v>1</v>
      </c>
      <c r="HC487" t="s">
        <v>1</v>
      </c>
      <c r="HD487" t="s">
        <v>1</v>
      </c>
      <c r="HE487" t="s">
        <v>1</v>
      </c>
      <c r="HF487" s="5" t="s">
        <v>1063</v>
      </c>
      <c r="HG487" s="4">
        <v>0.3</v>
      </c>
      <c r="HH487">
        <v>0</v>
      </c>
      <c r="HI487">
        <v>30</v>
      </c>
      <c r="HJ487" s="26" t="s">
        <v>1358</v>
      </c>
      <c r="HK487" t="s">
        <v>1</v>
      </c>
      <c r="HL487" t="s">
        <v>1</v>
      </c>
      <c r="HM487" t="s">
        <v>1</v>
      </c>
      <c r="HN487" t="s">
        <v>1</v>
      </c>
      <c r="HO487" t="s">
        <v>1</v>
      </c>
      <c r="HP487" t="s">
        <v>1</v>
      </c>
      <c r="HZ487" t="s">
        <v>1</v>
      </c>
      <c r="IA487" t="s">
        <v>1</v>
      </c>
      <c r="IB487" s="10" t="s">
        <v>1</v>
      </c>
      <c r="IC487" s="10"/>
      <c r="ID487" s="10"/>
      <c r="IE487" s="10" t="s">
        <v>1</v>
      </c>
      <c r="IF487" s="10" t="s">
        <v>1</v>
      </c>
      <c r="IG487" s="10"/>
      <c r="IH487" s="10"/>
      <c r="II487" s="10"/>
      <c r="IJ487" s="10"/>
      <c r="IK487" s="10"/>
      <c r="IL487" s="10"/>
      <c r="IM487" s="10"/>
      <c r="IN487" s="10"/>
      <c r="IO487" s="10"/>
      <c r="IP487" s="10"/>
      <c r="IQ487" s="10"/>
      <c r="IR487" s="10"/>
      <c r="IS487" t="s">
        <v>1</v>
      </c>
      <c r="IT487" t="s">
        <v>1</v>
      </c>
      <c r="IW487" t="s">
        <v>979</v>
      </c>
      <c r="IX487">
        <v>120</v>
      </c>
      <c r="IY487" t="s">
        <v>1</v>
      </c>
      <c r="IZ487" t="s">
        <v>1</v>
      </c>
      <c r="JA487" t="s">
        <v>1</v>
      </c>
      <c r="JB487" s="3" t="s">
        <v>1</v>
      </c>
      <c r="JC487" t="s">
        <v>1</v>
      </c>
      <c r="JD487" s="4" t="s">
        <v>1</v>
      </c>
      <c r="JE487" t="s">
        <v>1</v>
      </c>
      <c r="JF487" t="s">
        <v>1</v>
      </c>
      <c r="JR487" t="s">
        <v>1066</v>
      </c>
      <c r="JS487">
        <v>183.6</v>
      </c>
      <c r="JU487" t="s">
        <v>1</v>
      </c>
      <c r="JW487" t="s">
        <v>842</v>
      </c>
      <c r="JX487">
        <v>0</v>
      </c>
      <c r="JY487">
        <v>60</v>
      </c>
      <c r="JZ487" t="s">
        <v>800</v>
      </c>
      <c r="KA487" t="s">
        <v>544</v>
      </c>
      <c r="KB487" t="s">
        <v>738</v>
      </c>
      <c r="KC487" t="s">
        <v>1067</v>
      </c>
      <c r="KD487" s="1">
        <f t="shared" si="64"/>
        <v>3.1118644067796608</v>
      </c>
      <c r="KE487" s="11" t="s">
        <v>1</v>
      </c>
      <c r="KF487" s="11" t="s">
        <v>1</v>
      </c>
      <c r="KG487">
        <v>0</v>
      </c>
      <c r="KH487">
        <v>60</v>
      </c>
      <c r="KI487" t="s">
        <v>800</v>
      </c>
      <c r="KJ487" t="s">
        <v>544</v>
      </c>
      <c r="KK487" t="s">
        <v>738</v>
      </c>
    </row>
    <row r="488" spans="1:297" x14ac:dyDescent="0.2">
      <c r="A488">
        <v>456</v>
      </c>
      <c r="B488" t="s">
        <v>705</v>
      </c>
      <c r="C488" t="s">
        <v>559</v>
      </c>
      <c r="D488" t="s">
        <v>541</v>
      </c>
      <c r="E488">
        <v>76</v>
      </c>
      <c r="F488" t="s">
        <v>542</v>
      </c>
      <c r="G488" t="s">
        <v>1</v>
      </c>
      <c r="H488" s="26" t="s">
        <v>1420</v>
      </c>
      <c r="I488" t="s">
        <v>1</v>
      </c>
      <c r="J488" t="s">
        <v>1</v>
      </c>
      <c r="K488" t="s">
        <v>1</v>
      </c>
      <c r="L488" t="s">
        <v>1</v>
      </c>
      <c r="M488" t="s">
        <v>1</v>
      </c>
      <c r="N488" t="s">
        <v>1</v>
      </c>
      <c r="O488" t="s">
        <v>1</v>
      </c>
      <c r="P488" t="s">
        <v>1</v>
      </c>
      <c r="Q488" t="s">
        <v>1</v>
      </c>
      <c r="R488" t="s">
        <v>1</v>
      </c>
      <c r="S488" t="s">
        <v>1</v>
      </c>
      <c r="T488" t="s">
        <v>1</v>
      </c>
      <c r="U488" t="s">
        <v>1</v>
      </c>
      <c r="V488" t="s">
        <v>1</v>
      </c>
      <c r="W488" t="s">
        <v>1</v>
      </c>
      <c r="X488" t="s">
        <v>1</v>
      </c>
      <c r="Y488" t="s">
        <v>1</v>
      </c>
      <c r="Z488" t="s">
        <v>1</v>
      </c>
      <c r="AA488" t="s">
        <v>1</v>
      </c>
      <c r="AB488" t="s">
        <v>1</v>
      </c>
      <c r="AC488" t="s">
        <v>1</v>
      </c>
      <c r="AD488" t="s">
        <v>1</v>
      </c>
      <c r="AE488" t="s">
        <v>1</v>
      </c>
      <c r="AF488" t="s">
        <v>1</v>
      </c>
      <c r="AG488" t="s">
        <v>1</v>
      </c>
      <c r="AH488" t="s">
        <v>1</v>
      </c>
      <c r="AI488" t="s">
        <v>1</v>
      </c>
      <c r="AJ488" t="s">
        <v>1</v>
      </c>
      <c r="AK488" t="s">
        <v>1</v>
      </c>
      <c r="AL488" t="s">
        <v>1</v>
      </c>
      <c r="AM488" t="s">
        <v>1</v>
      </c>
      <c r="AN488">
        <v>456</v>
      </c>
      <c r="AO488">
        <f t="shared" si="59"/>
        <v>456</v>
      </c>
      <c r="AP488">
        <f t="shared" si="62"/>
        <v>76</v>
      </c>
      <c r="AQ488">
        <f t="shared" si="63"/>
        <v>76</v>
      </c>
      <c r="AR488" s="26" t="s">
        <v>1355</v>
      </c>
      <c r="AS488" s="26" t="s">
        <v>1356</v>
      </c>
      <c r="AT488" t="s">
        <v>716</v>
      </c>
      <c r="AU488" t="s">
        <v>1</v>
      </c>
      <c r="AV488" t="s">
        <v>1</v>
      </c>
      <c r="AW488">
        <v>53.92</v>
      </c>
      <c r="AX488">
        <v>9.9499999999999993</v>
      </c>
      <c r="AY488" t="s">
        <v>737</v>
      </c>
      <c r="BA488" s="3">
        <v>4</v>
      </c>
      <c r="BB488" s="3"/>
      <c r="BC488" s="3"/>
      <c r="BD488" s="3"/>
      <c r="BE488" s="3"/>
      <c r="BF488">
        <v>2009</v>
      </c>
      <c r="BG488" s="24" t="s">
        <v>733</v>
      </c>
      <c r="BH488" s="24" t="s">
        <v>733</v>
      </c>
      <c r="BI488" s="24" t="s">
        <v>733</v>
      </c>
      <c r="BJ488" s="24" t="s">
        <v>732</v>
      </c>
      <c r="BK488" s="24" t="s">
        <v>733</v>
      </c>
      <c r="BL488" s="25" t="s">
        <v>733</v>
      </c>
      <c r="BM488" s="24" t="s">
        <v>733</v>
      </c>
      <c r="BN488" s="24" t="s">
        <v>732</v>
      </c>
      <c r="BO488" s="24" t="s">
        <v>733</v>
      </c>
      <c r="BP488" s="24" t="s">
        <v>733</v>
      </c>
      <c r="BQ488" s="24" t="s">
        <v>945</v>
      </c>
      <c r="BR488" s="24" t="s">
        <v>945</v>
      </c>
      <c r="BS488" s="25" t="s">
        <v>934</v>
      </c>
      <c r="BT488" s="24" t="s">
        <v>934</v>
      </c>
      <c r="BU488" s="24" t="s">
        <v>934</v>
      </c>
      <c r="BV488" s="24" t="s">
        <v>934</v>
      </c>
      <c r="BW488" s="24" t="s">
        <v>934</v>
      </c>
      <c r="BX488" s="24" t="s">
        <v>934</v>
      </c>
      <c r="BY488" s="25" t="s">
        <v>945</v>
      </c>
      <c r="BZ488" t="s">
        <v>5</v>
      </c>
      <c r="CB488" t="s">
        <v>1</v>
      </c>
      <c r="CC488" s="4" t="s">
        <v>1</v>
      </c>
      <c r="CD488" s="4"/>
      <c r="CE488" s="4"/>
      <c r="CF488" t="s">
        <v>1</v>
      </c>
      <c r="CG488" t="s">
        <v>1</v>
      </c>
      <c r="CH488" t="s">
        <v>805</v>
      </c>
      <c r="CI488" s="28">
        <v>1</v>
      </c>
      <c r="CJ488" s="9" t="s">
        <v>1</v>
      </c>
      <c r="CK488" s="9" t="s">
        <v>1</v>
      </c>
      <c r="CL488" s="4" t="s">
        <v>1</v>
      </c>
      <c r="CM488" t="s">
        <v>847</v>
      </c>
      <c r="CN488" s="4">
        <v>175.39662953702256</v>
      </c>
      <c r="CO488" s="4" t="s">
        <v>1</v>
      </c>
      <c r="CP488" s="4" t="s">
        <v>1</v>
      </c>
      <c r="CQ488" s="4" t="s">
        <v>1</v>
      </c>
      <c r="CR488" s="4" t="s">
        <v>1</v>
      </c>
      <c r="CS488" s="4" t="s">
        <v>1</v>
      </c>
      <c r="CT488" s="4" t="s">
        <v>1</v>
      </c>
      <c r="CU488" s="4" t="s">
        <v>1</v>
      </c>
      <c r="CV488" t="s">
        <v>853</v>
      </c>
      <c r="CW488">
        <v>100</v>
      </c>
      <c r="CX488">
        <v>0</v>
      </c>
      <c r="CY488">
        <v>30</v>
      </c>
      <c r="CZ488" s="26" t="s">
        <v>1358</v>
      </c>
      <c r="DA488" t="s">
        <v>734</v>
      </c>
      <c r="DB488">
        <v>91</v>
      </c>
      <c r="DC488">
        <v>0</v>
      </c>
      <c r="DD488">
        <v>30</v>
      </c>
      <c r="DE488" s="26" t="s">
        <v>1358</v>
      </c>
      <c r="DF488" t="s">
        <v>735</v>
      </c>
      <c r="DG488">
        <v>5</v>
      </c>
      <c r="DH488">
        <v>0</v>
      </c>
      <c r="DI488">
        <v>30</v>
      </c>
      <c r="DJ488" s="26" t="s">
        <v>1358</v>
      </c>
      <c r="DK488" t="s">
        <v>736</v>
      </c>
      <c r="DL488">
        <v>4</v>
      </c>
      <c r="DM488">
        <v>0</v>
      </c>
      <c r="DN488">
        <v>30</v>
      </c>
      <c r="DO488" s="26" t="s">
        <v>1358</v>
      </c>
      <c r="DP488" t="s">
        <v>6</v>
      </c>
      <c r="DQ488" t="s">
        <v>1</v>
      </c>
      <c r="DR488">
        <v>4.8</v>
      </c>
      <c r="DS488">
        <v>0</v>
      </c>
      <c r="DT488">
        <v>30</v>
      </c>
      <c r="DU488" s="26" t="s">
        <v>1358</v>
      </c>
      <c r="EA488" t="s">
        <v>982</v>
      </c>
      <c r="EB488">
        <v>7.5</v>
      </c>
      <c r="EC488">
        <v>0</v>
      </c>
      <c r="ED488">
        <v>30</v>
      </c>
      <c r="EE488" s="26" t="s">
        <v>1358</v>
      </c>
      <c r="EF488" s="26"/>
      <c r="FZ488" t="s">
        <v>806</v>
      </c>
      <c r="GA488">
        <v>881.5</v>
      </c>
      <c r="GE488" s="26" t="s">
        <v>1358</v>
      </c>
      <c r="HA488" s="5" t="s">
        <v>1</v>
      </c>
      <c r="HB488" s="4" t="s">
        <v>1</v>
      </c>
      <c r="HC488" t="s">
        <v>1</v>
      </c>
      <c r="HD488" t="s">
        <v>1</v>
      </c>
      <c r="HE488" t="s">
        <v>1</v>
      </c>
      <c r="HF488" s="5" t="s">
        <v>1063</v>
      </c>
      <c r="HG488" s="4">
        <v>0.3</v>
      </c>
      <c r="HH488">
        <v>0</v>
      </c>
      <c r="HI488">
        <v>30</v>
      </c>
      <c r="HJ488" s="26" t="s">
        <v>1358</v>
      </c>
      <c r="HK488" t="s">
        <v>1</v>
      </c>
      <c r="HL488" t="s">
        <v>1</v>
      </c>
      <c r="HM488" t="s">
        <v>1</v>
      </c>
      <c r="HN488" t="s">
        <v>1</v>
      </c>
      <c r="HO488" t="s">
        <v>1</v>
      </c>
      <c r="HP488" t="s">
        <v>1</v>
      </c>
      <c r="HZ488" t="s">
        <v>1</v>
      </c>
      <c r="IA488" t="s">
        <v>1</v>
      </c>
      <c r="IB488" s="10" t="s">
        <v>1</v>
      </c>
      <c r="IC488" s="10"/>
      <c r="ID488" s="10"/>
      <c r="IE488" s="10" t="s">
        <v>1</v>
      </c>
      <c r="IF488" s="10" t="s">
        <v>1</v>
      </c>
      <c r="IG488" s="10"/>
      <c r="IH488" s="10"/>
      <c r="II488" s="10"/>
      <c r="IJ488" s="10"/>
      <c r="IK488" s="10"/>
      <c r="IL488" s="10"/>
      <c r="IM488" s="10"/>
      <c r="IN488" s="10"/>
      <c r="IO488" s="10"/>
      <c r="IP488" s="10"/>
      <c r="IQ488" s="10"/>
      <c r="IR488" s="10"/>
      <c r="IS488" t="s">
        <v>1</v>
      </c>
      <c r="IT488" t="s">
        <v>1</v>
      </c>
      <c r="IW488" t="s">
        <v>979</v>
      </c>
      <c r="IX488">
        <v>240</v>
      </c>
      <c r="IY488" t="s">
        <v>1</v>
      </c>
      <c r="IZ488" t="s">
        <v>1</v>
      </c>
      <c r="JA488" t="s">
        <v>1</v>
      </c>
      <c r="JB488" s="3" t="s">
        <v>1</v>
      </c>
      <c r="JC488" t="s">
        <v>1</v>
      </c>
      <c r="JD488" s="4" t="s">
        <v>1</v>
      </c>
      <c r="JE488" t="s">
        <v>1</v>
      </c>
      <c r="JF488" t="s">
        <v>1</v>
      </c>
      <c r="JR488" t="s">
        <v>1066</v>
      </c>
      <c r="JS488">
        <v>252.4</v>
      </c>
      <c r="JU488" t="s">
        <v>1</v>
      </c>
      <c r="JW488" t="s">
        <v>842</v>
      </c>
      <c r="JX488">
        <v>0</v>
      </c>
      <c r="JY488">
        <v>60</v>
      </c>
      <c r="JZ488" t="s">
        <v>800</v>
      </c>
      <c r="KA488" t="s">
        <v>544</v>
      </c>
      <c r="KB488" t="s">
        <v>738</v>
      </c>
      <c r="KC488" t="s">
        <v>1067</v>
      </c>
      <c r="KD488" s="1">
        <f t="shared" si="64"/>
        <v>4.2779661016949158</v>
      </c>
      <c r="KE488" s="11" t="s">
        <v>1</v>
      </c>
      <c r="KF488" s="11" t="s">
        <v>1</v>
      </c>
      <c r="KG488">
        <v>0</v>
      </c>
      <c r="KH488">
        <v>60</v>
      </c>
      <c r="KI488" t="s">
        <v>800</v>
      </c>
      <c r="KJ488" t="s">
        <v>544</v>
      </c>
      <c r="KK488" t="s">
        <v>738</v>
      </c>
    </row>
    <row r="489" spans="1:297" x14ac:dyDescent="0.2">
      <c r="A489">
        <v>457</v>
      </c>
      <c r="B489" t="s">
        <v>705</v>
      </c>
      <c r="C489" t="s">
        <v>560</v>
      </c>
      <c r="D489" t="s">
        <v>541</v>
      </c>
      <c r="E489">
        <v>76</v>
      </c>
      <c r="F489" t="s">
        <v>542</v>
      </c>
      <c r="G489" t="s">
        <v>1</v>
      </c>
      <c r="H489" s="26" t="s">
        <v>1420</v>
      </c>
      <c r="I489" t="s">
        <v>1</v>
      </c>
      <c r="J489" t="s">
        <v>1</v>
      </c>
      <c r="K489" t="s">
        <v>1</v>
      </c>
      <c r="L489" t="s">
        <v>1</v>
      </c>
      <c r="M489" t="s">
        <v>1</v>
      </c>
      <c r="N489" t="s">
        <v>1</v>
      </c>
      <c r="O489" t="s">
        <v>1</v>
      </c>
      <c r="P489" t="s">
        <v>1</v>
      </c>
      <c r="Q489" t="s">
        <v>1</v>
      </c>
      <c r="R489" t="s">
        <v>1</v>
      </c>
      <c r="S489" t="s">
        <v>1</v>
      </c>
      <c r="T489" t="s">
        <v>1</v>
      </c>
      <c r="U489" t="s">
        <v>1</v>
      </c>
      <c r="V489" t="s">
        <v>1</v>
      </c>
      <c r="W489" t="s">
        <v>1</v>
      </c>
      <c r="X489" t="s">
        <v>1</v>
      </c>
      <c r="Y489" t="s">
        <v>1</v>
      </c>
      <c r="Z489" t="s">
        <v>1</v>
      </c>
      <c r="AA489" t="s">
        <v>1</v>
      </c>
      <c r="AB489" t="s">
        <v>1</v>
      </c>
      <c r="AC489" t="s">
        <v>1</v>
      </c>
      <c r="AD489" t="s">
        <v>1</v>
      </c>
      <c r="AE489" t="s">
        <v>1</v>
      </c>
      <c r="AF489" t="s">
        <v>1</v>
      </c>
      <c r="AG489" t="s">
        <v>1</v>
      </c>
      <c r="AH489" t="s">
        <v>1</v>
      </c>
      <c r="AI489" t="s">
        <v>1</v>
      </c>
      <c r="AJ489" t="s">
        <v>1</v>
      </c>
      <c r="AK489" t="s">
        <v>1</v>
      </c>
      <c r="AL489" t="s">
        <v>1</v>
      </c>
      <c r="AM489" t="s">
        <v>1</v>
      </c>
      <c r="AN489">
        <v>457</v>
      </c>
      <c r="AO489">
        <f t="shared" si="59"/>
        <v>457</v>
      </c>
      <c r="AP489">
        <f t="shared" si="62"/>
        <v>76</v>
      </c>
      <c r="AQ489">
        <f t="shared" si="63"/>
        <v>76</v>
      </c>
      <c r="AR489" s="26" t="s">
        <v>1355</v>
      </c>
      <c r="AS489" s="26" t="s">
        <v>1356</v>
      </c>
      <c r="AT489" t="s">
        <v>716</v>
      </c>
      <c r="AU489" t="s">
        <v>1</v>
      </c>
      <c r="AV489" t="s">
        <v>1</v>
      </c>
      <c r="AW489">
        <v>53.92</v>
      </c>
      <c r="AX489">
        <v>9.9499999999999993</v>
      </c>
      <c r="AY489" t="s">
        <v>737</v>
      </c>
      <c r="BA489" s="3">
        <v>4</v>
      </c>
      <c r="BB489" s="3"/>
      <c r="BC489" s="3"/>
      <c r="BD489" s="3"/>
      <c r="BE489" s="3"/>
      <c r="BF489">
        <v>2009</v>
      </c>
      <c r="BG489" s="24" t="s">
        <v>733</v>
      </c>
      <c r="BH489" s="24" t="s">
        <v>733</v>
      </c>
      <c r="BI489" s="24" t="s">
        <v>733</v>
      </c>
      <c r="BJ489" s="24" t="s">
        <v>732</v>
      </c>
      <c r="BK489" s="24" t="s">
        <v>733</v>
      </c>
      <c r="BL489" s="25" t="s">
        <v>733</v>
      </c>
      <c r="BM489" s="24" t="s">
        <v>733</v>
      </c>
      <c r="BN489" s="24" t="s">
        <v>732</v>
      </c>
      <c r="BO489" s="24" t="s">
        <v>733</v>
      </c>
      <c r="BP489" s="24" t="s">
        <v>733</v>
      </c>
      <c r="BQ489" s="24" t="s">
        <v>945</v>
      </c>
      <c r="BR489" s="24" t="s">
        <v>945</v>
      </c>
      <c r="BS489" s="25" t="s">
        <v>934</v>
      </c>
      <c r="BT489" s="24" t="s">
        <v>934</v>
      </c>
      <c r="BU489" s="24" t="s">
        <v>934</v>
      </c>
      <c r="BV489" s="24" t="s">
        <v>934</v>
      </c>
      <c r="BW489" s="24" t="s">
        <v>934</v>
      </c>
      <c r="BX489" s="24" t="s">
        <v>934</v>
      </c>
      <c r="BY489" s="25" t="s">
        <v>945</v>
      </c>
      <c r="BZ489" t="s">
        <v>5</v>
      </c>
      <c r="CB489" t="s">
        <v>1</v>
      </c>
      <c r="CC489" s="4" t="s">
        <v>1</v>
      </c>
      <c r="CD489" s="4"/>
      <c r="CE489" s="4"/>
      <c r="CF489" t="s">
        <v>1</v>
      </c>
      <c r="CG489" t="s">
        <v>1</v>
      </c>
      <c r="CH489" t="s">
        <v>805</v>
      </c>
      <c r="CI489" s="28">
        <v>1</v>
      </c>
      <c r="CJ489" s="9" t="s">
        <v>1</v>
      </c>
      <c r="CK489" s="9" t="s">
        <v>1</v>
      </c>
      <c r="CL489" s="4" t="s">
        <v>1</v>
      </c>
      <c r="CM489" t="s">
        <v>847</v>
      </c>
      <c r="CN489" s="4">
        <v>201.61372935819341</v>
      </c>
      <c r="CO489" s="4" t="s">
        <v>1</v>
      </c>
      <c r="CP489" s="4" t="s">
        <v>1</v>
      </c>
      <c r="CQ489" s="4" t="s">
        <v>1</v>
      </c>
      <c r="CR489" s="4" t="s">
        <v>1</v>
      </c>
      <c r="CS489" s="4" t="s">
        <v>1</v>
      </c>
      <c r="CT489" s="4" t="s">
        <v>1</v>
      </c>
      <c r="CU489" s="4" t="s">
        <v>1</v>
      </c>
      <c r="CV489" t="s">
        <v>853</v>
      </c>
      <c r="CW489">
        <v>100</v>
      </c>
      <c r="CX489">
        <v>0</v>
      </c>
      <c r="CY489">
        <v>30</v>
      </c>
      <c r="CZ489" s="26" t="s">
        <v>1358</v>
      </c>
      <c r="DA489" t="s">
        <v>734</v>
      </c>
      <c r="DB489">
        <v>91</v>
      </c>
      <c r="DC489">
        <v>0</v>
      </c>
      <c r="DD489">
        <v>30</v>
      </c>
      <c r="DE489" s="26" t="s">
        <v>1358</v>
      </c>
      <c r="DF489" t="s">
        <v>735</v>
      </c>
      <c r="DG489">
        <v>5</v>
      </c>
      <c r="DH489">
        <v>0</v>
      </c>
      <c r="DI489">
        <v>30</v>
      </c>
      <c r="DJ489" s="26" t="s">
        <v>1358</v>
      </c>
      <c r="DK489" t="s">
        <v>736</v>
      </c>
      <c r="DL489">
        <v>4</v>
      </c>
      <c r="DM489">
        <v>0</v>
      </c>
      <c r="DN489">
        <v>30</v>
      </c>
      <c r="DO489" s="26" t="s">
        <v>1358</v>
      </c>
      <c r="DP489" t="s">
        <v>6</v>
      </c>
      <c r="DQ489" t="s">
        <v>1</v>
      </c>
      <c r="DR489">
        <v>4.8</v>
      </c>
      <c r="DS489">
        <v>0</v>
      </c>
      <c r="DT489">
        <v>30</v>
      </c>
      <c r="DU489" s="26" t="s">
        <v>1358</v>
      </c>
      <c r="EA489" t="s">
        <v>982</v>
      </c>
      <c r="EB489">
        <v>7.5</v>
      </c>
      <c r="EC489">
        <v>0</v>
      </c>
      <c r="ED489">
        <v>30</v>
      </c>
      <c r="EE489" s="26" t="s">
        <v>1358</v>
      </c>
      <c r="EF489" s="26"/>
      <c r="FZ489" t="s">
        <v>806</v>
      </c>
      <c r="GA489">
        <v>881.5</v>
      </c>
      <c r="GE489" s="26" t="s">
        <v>1358</v>
      </c>
      <c r="HA489" s="5" t="s">
        <v>1</v>
      </c>
      <c r="HB489" s="4" t="s">
        <v>1</v>
      </c>
      <c r="HC489" t="s">
        <v>1</v>
      </c>
      <c r="HD489" t="s">
        <v>1</v>
      </c>
      <c r="HE489" t="s">
        <v>1</v>
      </c>
      <c r="HF489" s="5" t="s">
        <v>1063</v>
      </c>
      <c r="HG489" s="4">
        <v>0.3</v>
      </c>
      <c r="HH489">
        <v>0</v>
      </c>
      <c r="HI489">
        <v>30</v>
      </c>
      <c r="HJ489" s="26" t="s">
        <v>1358</v>
      </c>
      <c r="HK489" t="s">
        <v>1</v>
      </c>
      <c r="HL489" t="s">
        <v>1</v>
      </c>
      <c r="HM489" t="s">
        <v>1</v>
      </c>
      <c r="HN489" t="s">
        <v>1</v>
      </c>
      <c r="HO489" t="s">
        <v>1</v>
      </c>
      <c r="HP489" t="s">
        <v>1</v>
      </c>
      <c r="HZ489" t="s">
        <v>1</v>
      </c>
      <c r="IA489" t="s">
        <v>1</v>
      </c>
      <c r="IB489" s="10" t="s">
        <v>1</v>
      </c>
      <c r="IC489" s="10"/>
      <c r="ID489" s="10"/>
      <c r="IE489" s="10" t="s">
        <v>1</v>
      </c>
      <c r="IF489" s="10" t="s">
        <v>1</v>
      </c>
      <c r="IG489" s="10"/>
      <c r="IH489" s="10"/>
      <c r="II489" s="10"/>
      <c r="IJ489" s="10"/>
      <c r="IK489" s="10"/>
      <c r="IL489" s="10"/>
      <c r="IM489" s="10"/>
      <c r="IN489" s="10"/>
      <c r="IO489" s="10"/>
      <c r="IP489" s="10"/>
      <c r="IQ489" s="10"/>
      <c r="IR489" s="10"/>
      <c r="IS489" t="s">
        <v>1</v>
      </c>
      <c r="IT489" t="s">
        <v>1</v>
      </c>
      <c r="IW489" t="s">
        <v>979</v>
      </c>
      <c r="IX489">
        <v>360</v>
      </c>
      <c r="IY489" t="s">
        <v>1</v>
      </c>
      <c r="IZ489" t="s">
        <v>1</v>
      </c>
      <c r="JA489" t="s">
        <v>1</v>
      </c>
      <c r="JB489" s="3" t="s">
        <v>1</v>
      </c>
      <c r="JC489" t="s">
        <v>1</v>
      </c>
      <c r="JD489" s="4" t="s">
        <v>1</v>
      </c>
      <c r="JE489" t="s">
        <v>1</v>
      </c>
      <c r="JF489" t="s">
        <v>1</v>
      </c>
      <c r="JR489" t="s">
        <v>1066</v>
      </c>
      <c r="JS489">
        <v>388.6</v>
      </c>
      <c r="JU489" t="s">
        <v>1</v>
      </c>
      <c r="JW489" t="s">
        <v>842</v>
      </c>
      <c r="JX489">
        <v>0</v>
      </c>
      <c r="JY489">
        <v>60</v>
      </c>
      <c r="JZ489" t="s">
        <v>800</v>
      </c>
      <c r="KA489" t="s">
        <v>544</v>
      </c>
      <c r="KB489" t="s">
        <v>738</v>
      </c>
      <c r="KC489" t="s">
        <v>1067</v>
      </c>
      <c r="KD489" s="1">
        <f t="shared" si="64"/>
        <v>6.5864406779661024</v>
      </c>
      <c r="KE489" s="11" t="s">
        <v>1</v>
      </c>
      <c r="KF489" s="11" t="s">
        <v>1</v>
      </c>
      <c r="KG489">
        <v>0</v>
      </c>
      <c r="KH489">
        <v>60</v>
      </c>
      <c r="KI489" t="s">
        <v>800</v>
      </c>
      <c r="KJ489" t="s">
        <v>544</v>
      </c>
      <c r="KK489" t="s">
        <v>738</v>
      </c>
    </row>
    <row r="490" spans="1:297" x14ac:dyDescent="0.2">
      <c r="A490">
        <v>458</v>
      </c>
      <c r="B490" t="s">
        <v>705</v>
      </c>
      <c r="C490" t="s">
        <v>561</v>
      </c>
      <c r="D490" t="s">
        <v>541</v>
      </c>
      <c r="E490">
        <v>76</v>
      </c>
      <c r="F490" t="s">
        <v>542</v>
      </c>
      <c r="G490" t="s">
        <v>1</v>
      </c>
      <c r="H490" s="26" t="s">
        <v>1420</v>
      </c>
      <c r="I490" t="s">
        <v>1</v>
      </c>
      <c r="J490" t="s">
        <v>1</v>
      </c>
      <c r="K490" t="s">
        <v>1</v>
      </c>
      <c r="L490" t="s">
        <v>1</v>
      </c>
      <c r="M490" t="s">
        <v>1</v>
      </c>
      <c r="N490" t="s">
        <v>1</v>
      </c>
      <c r="O490" t="s">
        <v>1</v>
      </c>
      <c r="P490" t="s">
        <v>1</v>
      </c>
      <c r="Q490" t="s">
        <v>1</v>
      </c>
      <c r="R490" t="s">
        <v>1</v>
      </c>
      <c r="S490" t="s">
        <v>1</v>
      </c>
      <c r="T490" t="s">
        <v>1</v>
      </c>
      <c r="U490" t="s">
        <v>1</v>
      </c>
      <c r="V490" t="s">
        <v>1</v>
      </c>
      <c r="W490" t="s">
        <v>1</v>
      </c>
      <c r="X490" t="s">
        <v>1</v>
      </c>
      <c r="Y490" t="s">
        <v>1</v>
      </c>
      <c r="Z490" t="s">
        <v>1</v>
      </c>
      <c r="AA490" t="s">
        <v>1</v>
      </c>
      <c r="AB490" t="s">
        <v>1</v>
      </c>
      <c r="AC490" t="s">
        <v>1</v>
      </c>
      <c r="AD490" t="s">
        <v>1</v>
      </c>
      <c r="AE490" t="s">
        <v>1</v>
      </c>
      <c r="AF490" t="s">
        <v>1</v>
      </c>
      <c r="AG490" t="s">
        <v>1</v>
      </c>
      <c r="AH490" t="s">
        <v>1</v>
      </c>
      <c r="AI490" t="s">
        <v>1</v>
      </c>
      <c r="AJ490" t="s">
        <v>1</v>
      </c>
      <c r="AK490" t="s">
        <v>1</v>
      </c>
      <c r="AL490" t="s">
        <v>1</v>
      </c>
      <c r="AM490" t="s">
        <v>1</v>
      </c>
      <c r="AN490">
        <v>458</v>
      </c>
      <c r="AO490">
        <f t="shared" si="59"/>
        <v>458</v>
      </c>
      <c r="AP490">
        <f t="shared" si="62"/>
        <v>76</v>
      </c>
      <c r="AQ490">
        <f t="shared" si="63"/>
        <v>76</v>
      </c>
      <c r="AR490" s="26" t="s">
        <v>1355</v>
      </c>
      <c r="AS490" s="26" t="s">
        <v>1356</v>
      </c>
      <c r="AT490" t="s">
        <v>716</v>
      </c>
      <c r="AU490" t="s">
        <v>1</v>
      </c>
      <c r="AV490" t="s">
        <v>1</v>
      </c>
      <c r="AW490">
        <v>53.92</v>
      </c>
      <c r="AX490">
        <v>9.9499999999999993</v>
      </c>
      <c r="AY490" t="s">
        <v>737</v>
      </c>
      <c r="BA490" s="3">
        <v>4</v>
      </c>
      <c r="BB490" s="3"/>
      <c r="BC490" s="3"/>
      <c r="BD490" s="3"/>
      <c r="BE490" s="3"/>
      <c r="BF490">
        <v>2009</v>
      </c>
      <c r="BG490" s="24" t="s">
        <v>733</v>
      </c>
      <c r="BH490" s="24" t="s">
        <v>733</v>
      </c>
      <c r="BI490" s="24" t="s">
        <v>733</v>
      </c>
      <c r="BJ490" s="24" t="s">
        <v>732</v>
      </c>
      <c r="BK490" s="24" t="s">
        <v>733</v>
      </c>
      <c r="BL490" s="25" t="s">
        <v>733</v>
      </c>
      <c r="BM490" s="24" t="s">
        <v>733</v>
      </c>
      <c r="BN490" s="24" t="s">
        <v>732</v>
      </c>
      <c r="BO490" s="24" t="s">
        <v>733</v>
      </c>
      <c r="BP490" s="24" t="s">
        <v>733</v>
      </c>
      <c r="BQ490" s="24" t="s">
        <v>945</v>
      </c>
      <c r="BR490" s="24" t="s">
        <v>945</v>
      </c>
      <c r="BS490" s="25" t="s">
        <v>934</v>
      </c>
      <c r="BT490" s="24" t="s">
        <v>934</v>
      </c>
      <c r="BU490" s="24" t="s">
        <v>934</v>
      </c>
      <c r="BV490" s="24" t="s">
        <v>934</v>
      </c>
      <c r="BW490" s="24" t="s">
        <v>934</v>
      </c>
      <c r="BX490" s="24" t="s">
        <v>934</v>
      </c>
      <c r="BY490" s="25" t="s">
        <v>945</v>
      </c>
      <c r="BZ490" t="s">
        <v>5</v>
      </c>
      <c r="CB490" t="s">
        <v>1</v>
      </c>
      <c r="CC490" s="4" t="s">
        <v>1</v>
      </c>
      <c r="CD490" s="4"/>
      <c r="CE490" s="4"/>
      <c r="CF490" t="s">
        <v>1</v>
      </c>
      <c r="CG490" t="s">
        <v>1</v>
      </c>
      <c r="CH490" t="s">
        <v>805</v>
      </c>
      <c r="CI490" s="28">
        <v>1</v>
      </c>
      <c r="CJ490" s="9" t="s">
        <v>1</v>
      </c>
      <c r="CK490" s="9" t="s">
        <v>1</v>
      </c>
      <c r="CL490" s="4" t="s">
        <v>1</v>
      </c>
      <c r="CM490" t="s">
        <v>847</v>
      </c>
      <c r="CN490" s="4">
        <v>221.25920345086072</v>
      </c>
      <c r="CO490" s="4" t="s">
        <v>1</v>
      </c>
      <c r="CP490" s="4" t="s">
        <v>1</v>
      </c>
      <c r="CQ490" s="4" t="s">
        <v>1</v>
      </c>
      <c r="CR490" s="4" t="s">
        <v>1</v>
      </c>
      <c r="CS490" s="4" t="s">
        <v>1</v>
      </c>
      <c r="CT490" s="4" t="s">
        <v>1</v>
      </c>
      <c r="CU490" s="4" t="s">
        <v>1</v>
      </c>
      <c r="CV490" t="s">
        <v>853</v>
      </c>
      <c r="CW490">
        <v>100</v>
      </c>
      <c r="CX490">
        <v>0</v>
      </c>
      <c r="CY490">
        <v>30</v>
      </c>
      <c r="CZ490" s="26" t="s">
        <v>1358</v>
      </c>
      <c r="DA490" t="s">
        <v>734</v>
      </c>
      <c r="DB490">
        <v>91</v>
      </c>
      <c r="DC490">
        <v>0</v>
      </c>
      <c r="DD490">
        <v>30</v>
      </c>
      <c r="DE490" s="26" t="s">
        <v>1358</v>
      </c>
      <c r="DF490" t="s">
        <v>735</v>
      </c>
      <c r="DG490">
        <v>5</v>
      </c>
      <c r="DH490">
        <v>0</v>
      </c>
      <c r="DI490">
        <v>30</v>
      </c>
      <c r="DJ490" s="26" t="s">
        <v>1358</v>
      </c>
      <c r="DK490" t="s">
        <v>736</v>
      </c>
      <c r="DL490">
        <v>4</v>
      </c>
      <c r="DM490">
        <v>0</v>
      </c>
      <c r="DN490">
        <v>30</v>
      </c>
      <c r="DO490" s="26" t="s">
        <v>1358</v>
      </c>
      <c r="DP490" t="s">
        <v>6</v>
      </c>
      <c r="DQ490" t="s">
        <v>1</v>
      </c>
      <c r="DR490">
        <v>4.8</v>
      </c>
      <c r="DS490">
        <v>0</v>
      </c>
      <c r="DT490">
        <v>30</v>
      </c>
      <c r="DU490" s="26" t="s">
        <v>1358</v>
      </c>
      <c r="EA490" t="s">
        <v>982</v>
      </c>
      <c r="EB490">
        <v>7.5</v>
      </c>
      <c r="EC490">
        <v>0</v>
      </c>
      <c r="ED490">
        <v>30</v>
      </c>
      <c r="EE490" s="26" t="s">
        <v>1358</v>
      </c>
      <c r="EF490" s="26"/>
      <c r="FZ490" t="s">
        <v>806</v>
      </c>
      <c r="GA490">
        <v>881.5</v>
      </c>
      <c r="GE490" s="26" t="s">
        <v>1358</v>
      </c>
      <c r="HA490" s="5" t="s">
        <v>1</v>
      </c>
      <c r="HB490" s="4" t="s">
        <v>1</v>
      </c>
      <c r="HC490" t="s">
        <v>1</v>
      </c>
      <c r="HD490" t="s">
        <v>1</v>
      </c>
      <c r="HE490" t="s">
        <v>1</v>
      </c>
      <c r="HF490" s="5" t="s">
        <v>1063</v>
      </c>
      <c r="HG490" s="4">
        <v>0.3</v>
      </c>
      <c r="HH490">
        <v>0</v>
      </c>
      <c r="HI490">
        <v>30</v>
      </c>
      <c r="HJ490" s="26" t="s">
        <v>1358</v>
      </c>
      <c r="HK490" t="s">
        <v>1</v>
      </c>
      <c r="HL490" t="s">
        <v>1</v>
      </c>
      <c r="HM490" t="s">
        <v>1</v>
      </c>
      <c r="HN490" t="s">
        <v>1</v>
      </c>
      <c r="HO490" t="s">
        <v>1</v>
      </c>
      <c r="HP490" t="s">
        <v>1</v>
      </c>
      <c r="HZ490" t="s">
        <v>1</v>
      </c>
      <c r="IA490" t="s">
        <v>1</v>
      </c>
      <c r="IB490" s="10" t="s">
        <v>1</v>
      </c>
      <c r="IC490" s="10"/>
      <c r="ID490" s="10"/>
      <c r="IE490" s="10" t="s">
        <v>1</v>
      </c>
      <c r="IF490" s="10" t="s">
        <v>1</v>
      </c>
      <c r="IG490" s="10"/>
      <c r="IH490" s="10"/>
      <c r="II490" s="10"/>
      <c r="IJ490" s="10"/>
      <c r="IK490" s="10"/>
      <c r="IL490" s="10"/>
      <c r="IM490" s="10"/>
      <c r="IN490" s="10"/>
      <c r="IO490" s="10"/>
      <c r="IP490" s="10"/>
      <c r="IQ490" s="10"/>
      <c r="IR490" s="10"/>
      <c r="IS490" t="s">
        <v>1</v>
      </c>
      <c r="IT490" t="s">
        <v>1</v>
      </c>
      <c r="IW490" t="s">
        <v>979</v>
      </c>
      <c r="IX490">
        <v>360</v>
      </c>
      <c r="IY490" t="s">
        <v>1</v>
      </c>
      <c r="IZ490" t="s">
        <v>1</v>
      </c>
      <c r="JA490" t="s">
        <v>1</v>
      </c>
      <c r="JB490" s="3" t="s">
        <v>1</v>
      </c>
      <c r="JC490" t="s">
        <v>1</v>
      </c>
      <c r="JD490" s="4" t="s">
        <v>1</v>
      </c>
      <c r="JE490" t="s">
        <v>1</v>
      </c>
      <c r="JF490" t="s">
        <v>1</v>
      </c>
      <c r="JR490" t="s">
        <v>1066</v>
      </c>
      <c r="JS490">
        <v>624.70000000000005</v>
      </c>
      <c r="JU490" t="s">
        <v>1</v>
      </c>
      <c r="JW490" t="s">
        <v>842</v>
      </c>
      <c r="JX490">
        <v>0</v>
      </c>
      <c r="JY490">
        <v>60</v>
      </c>
      <c r="JZ490" t="s">
        <v>800</v>
      </c>
      <c r="KA490" t="s">
        <v>544</v>
      </c>
      <c r="KB490" t="s">
        <v>738</v>
      </c>
      <c r="KC490" t="s">
        <v>1067</v>
      </c>
      <c r="KD490" s="1">
        <v>0</v>
      </c>
      <c r="KE490" s="11" t="s">
        <v>1</v>
      </c>
      <c r="KF490" s="11" t="s">
        <v>1</v>
      </c>
      <c r="KG490">
        <v>0</v>
      </c>
      <c r="KH490">
        <v>60</v>
      </c>
      <c r="KI490" t="s">
        <v>800</v>
      </c>
      <c r="KJ490" t="s">
        <v>544</v>
      </c>
      <c r="KK490" t="s">
        <v>738</v>
      </c>
    </row>
    <row r="491" spans="1:297" x14ac:dyDescent="0.2">
      <c r="A491">
        <v>459</v>
      </c>
      <c r="B491" t="s">
        <v>705</v>
      </c>
      <c r="C491" t="s">
        <v>562</v>
      </c>
      <c r="D491" t="s">
        <v>541</v>
      </c>
      <c r="E491">
        <v>76</v>
      </c>
      <c r="F491" t="s">
        <v>542</v>
      </c>
      <c r="G491" t="s">
        <v>1</v>
      </c>
      <c r="H491" s="26" t="s">
        <v>1420</v>
      </c>
      <c r="I491" t="s">
        <v>1</v>
      </c>
      <c r="J491" t="s">
        <v>1</v>
      </c>
      <c r="K491" t="s">
        <v>1</v>
      </c>
      <c r="L491" t="s">
        <v>1</v>
      </c>
      <c r="M491" t="s">
        <v>1</v>
      </c>
      <c r="N491" t="s">
        <v>1</v>
      </c>
      <c r="O491" t="s">
        <v>1</v>
      </c>
      <c r="P491" t="s">
        <v>1</v>
      </c>
      <c r="Q491" t="s">
        <v>1</v>
      </c>
      <c r="R491" t="s">
        <v>1</v>
      </c>
      <c r="S491" t="s">
        <v>1</v>
      </c>
      <c r="T491" t="s">
        <v>1</v>
      </c>
      <c r="U491" t="s">
        <v>1</v>
      </c>
      <c r="V491" t="s">
        <v>1</v>
      </c>
      <c r="W491" t="s">
        <v>1</v>
      </c>
      <c r="X491" t="s">
        <v>1</v>
      </c>
      <c r="Y491" t="s">
        <v>1</v>
      </c>
      <c r="Z491" t="s">
        <v>1</v>
      </c>
      <c r="AA491" t="s">
        <v>1</v>
      </c>
      <c r="AB491" t="s">
        <v>1</v>
      </c>
      <c r="AC491" t="s">
        <v>1</v>
      </c>
      <c r="AD491" t="s">
        <v>1</v>
      </c>
      <c r="AE491" t="s">
        <v>1</v>
      </c>
      <c r="AF491" t="s">
        <v>1</v>
      </c>
      <c r="AG491" t="s">
        <v>1</v>
      </c>
      <c r="AH491" t="s">
        <v>1</v>
      </c>
      <c r="AI491" t="s">
        <v>1</v>
      </c>
      <c r="AJ491" t="s">
        <v>1</v>
      </c>
      <c r="AK491" t="s">
        <v>1</v>
      </c>
      <c r="AL491" t="s">
        <v>1</v>
      </c>
      <c r="AM491" t="s">
        <v>1</v>
      </c>
      <c r="AN491">
        <v>459</v>
      </c>
      <c r="AO491">
        <f t="shared" si="59"/>
        <v>459</v>
      </c>
      <c r="AP491">
        <f t="shared" si="62"/>
        <v>76</v>
      </c>
      <c r="AQ491">
        <f t="shared" si="63"/>
        <v>76</v>
      </c>
      <c r="AR491" s="26" t="s">
        <v>1355</v>
      </c>
      <c r="AS491" s="26" t="s">
        <v>1356</v>
      </c>
      <c r="AT491" t="s">
        <v>716</v>
      </c>
      <c r="AU491" t="s">
        <v>1</v>
      </c>
      <c r="AV491" t="s">
        <v>1</v>
      </c>
      <c r="AW491">
        <v>53.92</v>
      </c>
      <c r="AX491">
        <v>9.9499999999999993</v>
      </c>
      <c r="AY491" t="s">
        <v>737</v>
      </c>
      <c r="BA491" s="3">
        <v>4</v>
      </c>
      <c r="BB491" s="3"/>
      <c r="BC491" s="3"/>
      <c r="BD491" s="3"/>
      <c r="BE491" s="3"/>
      <c r="BF491">
        <v>2009</v>
      </c>
      <c r="BG491" s="24" t="s">
        <v>733</v>
      </c>
      <c r="BH491" s="24" t="s">
        <v>733</v>
      </c>
      <c r="BI491" s="24" t="s">
        <v>733</v>
      </c>
      <c r="BJ491" s="24" t="s">
        <v>732</v>
      </c>
      <c r="BK491" s="24" t="s">
        <v>733</v>
      </c>
      <c r="BL491" s="25" t="s">
        <v>733</v>
      </c>
      <c r="BM491" s="24" t="s">
        <v>733</v>
      </c>
      <c r="BN491" s="24" t="s">
        <v>732</v>
      </c>
      <c r="BO491" s="24" t="s">
        <v>733</v>
      </c>
      <c r="BP491" s="24" t="s">
        <v>733</v>
      </c>
      <c r="BQ491" s="24" t="s">
        <v>945</v>
      </c>
      <c r="BR491" s="24" t="s">
        <v>945</v>
      </c>
      <c r="BS491" s="25" t="s">
        <v>934</v>
      </c>
      <c r="BT491" s="24" t="s">
        <v>934</v>
      </c>
      <c r="BU491" s="24" t="s">
        <v>934</v>
      </c>
      <c r="BV491" s="24" t="s">
        <v>934</v>
      </c>
      <c r="BW491" s="24" t="s">
        <v>934</v>
      </c>
      <c r="BX491" s="24" t="s">
        <v>934</v>
      </c>
      <c r="BY491" s="25" t="s">
        <v>945</v>
      </c>
      <c r="BZ491" t="s">
        <v>5</v>
      </c>
      <c r="CB491" t="s">
        <v>1</v>
      </c>
      <c r="CC491" s="4" t="s">
        <v>1</v>
      </c>
      <c r="CD491" s="4"/>
      <c r="CE491" s="4"/>
      <c r="CF491" t="s">
        <v>1</v>
      </c>
      <c r="CG491" t="s">
        <v>1</v>
      </c>
      <c r="CH491" t="s">
        <v>805</v>
      </c>
      <c r="CI491" s="28">
        <v>1</v>
      </c>
      <c r="CJ491" s="9" t="s">
        <v>1</v>
      </c>
      <c r="CK491" s="9" t="s">
        <v>1</v>
      </c>
      <c r="CL491" s="4" t="s">
        <v>1</v>
      </c>
      <c r="CM491" t="s">
        <v>847</v>
      </c>
      <c r="CN491" s="4">
        <v>125.86823601192268</v>
      </c>
      <c r="CO491" s="4" t="s">
        <v>1</v>
      </c>
      <c r="CP491" s="4" t="s">
        <v>1</v>
      </c>
      <c r="CQ491" s="4" t="s">
        <v>1</v>
      </c>
      <c r="CR491" s="4" t="s">
        <v>1</v>
      </c>
      <c r="CS491" s="4" t="s">
        <v>1</v>
      </c>
      <c r="CT491" s="4" t="s">
        <v>1</v>
      </c>
      <c r="CU491" s="4" t="s">
        <v>1</v>
      </c>
      <c r="CV491" t="s">
        <v>853</v>
      </c>
      <c r="CW491">
        <v>100</v>
      </c>
      <c r="CX491">
        <v>0</v>
      </c>
      <c r="CY491">
        <v>30</v>
      </c>
      <c r="CZ491" s="26" t="s">
        <v>1358</v>
      </c>
      <c r="DA491" t="s">
        <v>734</v>
      </c>
      <c r="DB491">
        <v>91</v>
      </c>
      <c r="DC491">
        <v>0</v>
      </c>
      <c r="DD491">
        <v>30</v>
      </c>
      <c r="DE491" s="26" t="s">
        <v>1358</v>
      </c>
      <c r="DF491" t="s">
        <v>735</v>
      </c>
      <c r="DG491">
        <v>5</v>
      </c>
      <c r="DH491">
        <v>0</v>
      </c>
      <c r="DI491">
        <v>30</v>
      </c>
      <c r="DJ491" s="26" t="s">
        <v>1358</v>
      </c>
      <c r="DK491" t="s">
        <v>736</v>
      </c>
      <c r="DL491">
        <v>4</v>
      </c>
      <c r="DM491">
        <v>0</v>
      </c>
      <c r="DN491">
        <v>30</v>
      </c>
      <c r="DO491" s="26" t="s">
        <v>1358</v>
      </c>
      <c r="DP491" t="s">
        <v>6</v>
      </c>
      <c r="DQ491" t="s">
        <v>1</v>
      </c>
      <c r="DR491">
        <v>4.8</v>
      </c>
      <c r="DS491">
        <v>0</v>
      </c>
      <c r="DT491">
        <v>30</v>
      </c>
      <c r="DU491" s="26" t="s">
        <v>1358</v>
      </c>
      <c r="EA491" t="s">
        <v>982</v>
      </c>
      <c r="EB491">
        <v>7.5</v>
      </c>
      <c r="EC491">
        <v>0</v>
      </c>
      <c r="ED491">
        <v>30</v>
      </c>
      <c r="EE491" s="26" t="s">
        <v>1358</v>
      </c>
      <c r="EF491" s="26"/>
      <c r="FZ491" t="s">
        <v>806</v>
      </c>
      <c r="GA491">
        <v>881.5</v>
      </c>
      <c r="GE491" s="26" t="s">
        <v>1358</v>
      </c>
      <c r="HA491" s="5" t="s">
        <v>1</v>
      </c>
      <c r="HB491" s="4" t="s">
        <v>1</v>
      </c>
      <c r="HC491" t="s">
        <v>1</v>
      </c>
      <c r="HD491" t="s">
        <v>1</v>
      </c>
      <c r="HE491" t="s">
        <v>1</v>
      </c>
      <c r="HF491" s="5" t="s">
        <v>1063</v>
      </c>
      <c r="HG491" s="4">
        <v>0.3</v>
      </c>
      <c r="HH491">
        <v>0</v>
      </c>
      <c r="HI491">
        <v>30</v>
      </c>
      <c r="HJ491" s="26" t="s">
        <v>1358</v>
      </c>
      <c r="HK491" t="s">
        <v>1</v>
      </c>
      <c r="HL491" t="s">
        <v>1</v>
      </c>
      <c r="HM491" t="s">
        <v>1</v>
      </c>
      <c r="HN491" t="s">
        <v>1</v>
      </c>
      <c r="HO491" t="s">
        <v>1</v>
      </c>
      <c r="HP491" t="s">
        <v>1</v>
      </c>
      <c r="HZ491" t="s">
        <v>1</v>
      </c>
      <c r="IA491" t="s">
        <v>1</v>
      </c>
      <c r="IB491" s="10" t="s">
        <v>1</v>
      </c>
      <c r="IC491" s="10"/>
      <c r="ID491" s="10"/>
      <c r="IE491" s="10" t="s">
        <v>1</v>
      </c>
      <c r="IF491" s="10" t="s">
        <v>1</v>
      </c>
      <c r="IG491" s="10"/>
      <c r="IH491" s="10"/>
      <c r="II491" s="10"/>
      <c r="IJ491" s="10"/>
      <c r="IK491" s="10"/>
      <c r="IL491" s="10"/>
      <c r="IM491" s="10"/>
      <c r="IN491" s="10"/>
      <c r="IO491" s="10"/>
      <c r="IP491" s="10"/>
      <c r="IQ491" s="10"/>
      <c r="IR491" s="10"/>
      <c r="IS491" t="s">
        <v>978</v>
      </c>
      <c r="IT491">
        <v>120</v>
      </c>
      <c r="IW491" t="s">
        <v>1</v>
      </c>
      <c r="IX491" t="s">
        <v>1</v>
      </c>
      <c r="IY491" t="s">
        <v>1</v>
      </c>
      <c r="IZ491" t="s">
        <v>1</v>
      </c>
      <c r="JA491" t="s">
        <v>1</v>
      </c>
      <c r="JB491" s="3" t="s">
        <v>1</v>
      </c>
      <c r="JC491" t="s">
        <v>1</v>
      </c>
      <c r="JD491" s="4" t="s">
        <v>1</v>
      </c>
      <c r="JE491" t="s">
        <v>1</v>
      </c>
      <c r="JF491" t="s">
        <v>1</v>
      </c>
      <c r="JR491" t="s">
        <v>1066</v>
      </c>
      <c r="JS491">
        <v>184.6</v>
      </c>
      <c r="JU491" t="s">
        <v>1</v>
      </c>
      <c r="JW491" t="s">
        <v>842</v>
      </c>
      <c r="JX491">
        <v>0</v>
      </c>
      <c r="JY491">
        <v>60</v>
      </c>
      <c r="JZ491" t="s">
        <v>800</v>
      </c>
      <c r="KA491" t="s">
        <v>544</v>
      </c>
      <c r="KB491" t="s">
        <v>738</v>
      </c>
      <c r="KC491" t="s">
        <v>1067</v>
      </c>
      <c r="KD491" s="1">
        <v>0</v>
      </c>
      <c r="KE491" s="11" t="s">
        <v>1</v>
      </c>
      <c r="KF491" s="11" t="s">
        <v>1</v>
      </c>
      <c r="KG491">
        <v>0</v>
      </c>
      <c r="KH491">
        <v>60</v>
      </c>
      <c r="KI491" t="s">
        <v>800</v>
      </c>
      <c r="KJ491" t="s">
        <v>544</v>
      </c>
      <c r="KK491" t="s">
        <v>738</v>
      </c>
    </row>
    <row r="492" spans="1:297" x14ac:dyDescent="0.2">
      <c r="A492">
        <v>460</v>
      </c>
      <c r="B492" t="s">
        <v>705</v>
      </c>
      <c r="C492" t="s">
        <v>563</v>
      </c>
      <c r="D492" t="s">
        <v>541</v>
      </c>
      <c r="E492">
        <v>76</v>
      </c>
      <c r="F492" t="s">
        <v>542</v>
      </c>
      <c r="G492" t="s">
        <v>1</v>
      </c>
      <c r="H492" s="26" t="s">
        <v>1420</v>
      </c>
      <c r="I492" t="s">
        <v>1</v>
      </c>
      <c r="J492" t="s">
        <v>1</v>
      </c>
      <c r="K492" t="s">
        <v>1</v>
      </c>
      <c r="L492" t="s">
        <v>1</v>
      </c>
      <c r="M492" t="s">
        <v>1</v>
      </c>
      <c r="N492" t="s">
        <v>1</v>
      </c>
      <c r="O492" t="s">
        <v>1</v>
      </c>
      <c r="P492" t="s">
        <v>1</v>
      </c>
      <c r="Q492" t="s">
        <v>1</v>
      </c>
      <c r="R492" t="s">
        <v>1</v>
      </c>
      <c r="S492" t="s">
        <v>1</v>
      </c>
      <c r="T492" t="s">
        <v>1</v>
      </c>
      <c r="U492" t="s">
        <v>1</v>
      </c>
      <c r="V492" t="s">
        <v>1</v>
      </c>
      <c r="W492" t="s">
        <v>1</v>
      </c>
      <c r="X492" t="s">
        <v>1</v>
      </c>
      <c r="Y492" t="s">
        <v>1</v>
      </c>
      <c r="Z492" t="s">
        <v>1</v>
      </c>
      <c r="AA492" t="s">
        <v>1</v>
      </c>
      <c r="AB492" t="s">
        <v>1</v>
      </c>
      <c r="AC492" t="s">
        <v>1</v>
      </c>
      <c r="AD492" t="s">
        <v>1</v>
      </c>
      <c r="AE492" t="s">
        <v>1</v>
      </c>
      <c r="AF492" t="s">
        <v>1</v>
      </c>
      <c r="AG492" t="s">
        <v>1</v>
      </c>
      <c r="AH492" t="s">
        <v>1</v>
      </c>
      <c r="AI492" t="s">
        <v>1</v>
      </c>
      <c r="AJ492" t="s">
        <v>1</v>
      </c>
      <c r="AK492" t="s">
        <v>1</v>
      </c>
      <c r="AL492" t="s">
        <v>1</v>
      </c>
      <c r="AM492" t="s">
        <v>1</v>
      </c>
      <c r="AN492">
        <v>460</v>
      </c>
      <c r="AO492">
        <f t="shared" si="59"/>
        <v>460</v>
      </c>
      <c r="AP492">
        <f t="shared" si="62"/>
        <v>76</v>
      </c>
      <c r="AQ492">
        <f t="shared" si="63"/>
        <v>76</v>
      </c>
      <c r="AR492" s="26" t="s">
        <v>1355</v>
      </c>
      <c r="AS492" s="26" t="s">
        <v>1356</v>
      </c>
      <c r="AT492" t="s">
        <v>716</v>
      </c>
      <c r="AU492" t="s">
        <v>1</v>
      </c>
      <c r="AV492" t="s">
        <v>1</v>
      </c>
      <c r="AW492">
        <v>53.92</v>
      </c>
      <c r="AX492">
        <v>9.9499999999999993</v>
      </c>
      <c r="AY492" t="s">
        <v>737</v>
      </c>
      <c r="BA492" s="3">
        <v>4</v>
      </c>
      <c r="BB492" s="3"/>
      <c r="BC492" s="3"/>
      <c r="BD492" s="3"/>
      <c r="BE492" s="3"/>
      <c r="BF492">
        <v>2009</v>
      </c>
      <c r="BG492" s="24" t="s">
        <v>733</v>
      </c>
      <c r="BH492" s="24" t="s">
        <v>733</v>
      </c>
      <c r="BI492" s="24" t="s">
        <v>733</v>
      </c>
      <c r="BJ492" s="24" t="s">
        <v>732</v>
      </c>
      <c r="BK492" s="24" t="s">
        <v>733</v>
      </c>
      <c r="BL492" s="25" t="s">
        <v>733</v>
      </c>
      <c r="BM492" s="24" t="s">
        <v>733</v>
      </c>
      <c r="BN492" s="24" t="s">
        <v>732</v>
      </c>
      <c r="BO492" s="24" t="s">
        <v>733</v>
      </c>
      <c r="BP492" s="24" t="s">
        <v>733</v>
      </c>
      <c r="BQ492" s="24" t="s">
        <v>945</v>
      </c>
      <c r="BR492" s="24" t="s">
        <v>945</v>
      </c>
      <c r="BS492" s="25" t="s">
        <v>934</v>
      </c>
      <c r="BT492" s="24" t="s">
        <v>934</v>
      </c>
      <c r="BU492" s="24" t="s">
        <v>934</v>
      </c>
      <c r="BV492" s="24" t="s">
        <v>934</v>
      </c>
      <c r="BW492" s="24" t="s">
        <v>934</v>
      </c>
      <c r="BX492" s="24" t="s">
        <v>934</v>
      </c>
      <c r="BY492" s="25" t="s">
        <v>945</v>
      </c>
      <c r="BZ492" t="s">
        <v>5</v>
      </c>
      <c r="CB492" t="s">
        <v>1</v>
      </c>
      <c r="CC492" s="4" t="s">
        <v>1</v>
      </c>
      <c r="CD492" s="4"/>
      <c r="CE492" s="4"/>
      <c r="CF492" t="s">
        <v>1</v>
      </c>
      <c r="CG492" t="s">
        <v>1</v>
      </c>
      <c r="CH492" t="s">
        <v>805</v>
      </c>
      <c r="CI492" s="28">
        <v>1</v>
      </c>
      <c r="CJ492" s="9" t="s">
        <v>1</v>
      </c>
      <c r="CK492" s="9" t="s">
        <v>1</v>
      </c>
      <c r="CL492" s="4" t="s">
        <v>1</v>
      </c>
      <c r="CM492" t="s">
        <v>847</v>
      </c>
      <c r="CN492" s="4">
        <v>185.67795661870502</v>
      </c>
      <c r="CO492" s="4" t="s">
        <v>1</v>
      </c>
      <c r="CP492" s="4" t="s">
        <v>1</v>
      </c>
      <c r="CQ492" s="4" t="s">
        <v>1</v>
      </c>
      <c r="CR492" s="4" t="s">
        <v>1</v>
      </c>
      <c r="CS492" s="4" t="s">
        <v>1</v>
      </c>
      <c r="CT492" s="4" t="s">
        <v>1</v>
      </c>
      <c r="CU492" s="4" t="s">
        <v>1</v>
      </c>
      <c r="CV492" t="s">
        <v>853</v>
      </c>
      <c r="CW492">
        <v>100</v>
      </c>
      <c r="CX492">
        <v>0</v>
      </c>
      <c r="CY492">
        <v>30</v>
      </c>
      <c r="CZ492" s="26" t="s">
        <v>1358</v>
      </c>
      <c r="DA492" t="s">
        <v>734</v>
      </c>
      <c r="DB492">
        <v>91</v>
      </c>
      <c r="DC492">
        <v>0</v>
      </c>
      <c r="DD492">
        <v>30</v>
      </c>
      <c r="DE492" s="26" t="s">
        <v>1358</v>
      </c>
      <c r="DF492" t="s">
        <v>735</v>
      </c>
      <c r="DG492">
        <v>5</v>
      </c>
      <c r="DH492">
        <v>0</v>
      </c>
      <c r="DI492">
        <v>30</v>
      </c>
      <c r="DJ492" s="26" t="s">
        <v>1358</v>
      </c>
      <c r="DK492" t="s">
        <v>736</v>
      </c>
      <c r="DL492">
        <v>4</v>
      </c>
      <c r="DM492">
        <v>0</v>
      </c>
      <c r="DN492">
        <v>30</v>
      </c>
      <c r="DO492" s="26" t="s">
        <v>1358</v>
      </c>
      <c r="DP492" t="s">
        <v>6</v>
      </c>
      <c r="DQ492" t="s">
        <v>1</v>
      </c>
      <c r="DR492">
        <v>4.8</v>
      </c>
      <c r="DS492">
        <v>0</v>
      </c>
      <c r="DT492">
        <v>30</v>
      </c>
      <c r="DU492" s="26" t="s">
        <v>1358</v>
      </c>
      <c r="EA492" t="s">
        <v>982</v>
      </c>
      <c r="EB492">
        <v>7.5</v>
      </c>
      <c r="EC492">
        <v>0</v>
      </c>
      <c r="ED492">
        <v>30</v>
      </c>
      <c r="EE492" s="26" t="s">
        <v>1358</v>
      </c>
      <c r="EF492" s="26"/>
      <c r="FZ492" t="s">
        <v>806</v>
      </c>
      <c r="GA492">
        <v>881.5</v>
      </c>
      <c r="GE492" s="26" t="s">
        <v>1358</v>
      </c>
      <c r="HA492" s="5" t="s">
        <v>1</v>
      </c>
      <c r="HB492" s="4" t="s">
        <v>1</v>
      </c>
      <c r="HC492" t="s">
        <v>1</v>
      </c>
      <c r="HD492" t="s">
        <v>1</v>
      </c>
      <c r="HE492" t="s">
        <v>1</v>
      </c>
      <c r="HF492" s="5" t="s">
        <v>1063</v>
      </c>
      <c r="HG492" s="4">
        <v>0.3</v>
      </c>
      <c r="HH492">
        <v>0</v>
      </c>
      <c r="HI492">
        <v>30</v>
      </c>
      <c r="HJ492" s="26" t="s">
        <v>1358</v>
      </c>
      <c r="HK492" t="s">
        <v>1</v>
      </c>
      <c r="HL492" t="s">
        <v>1</v>
      </c>
      <c r="HM492" t="s">
        <v>1</v>
      </c>
      <c r="HN492" t="s">
        <v>1</v>
      </c>
      <c r="HO492" t="s">
        <v>1</v>
      </c>
      <c r="HP492" t="s">
        <v>1</v>
      </c>
      <c r="HZ492" t="s">
        <v>1</v>
      </c>
      <c r="IA492" t="s">
        <v>1</v>
      </c>
      <c r="IB492" s="10" t="s">
        <v>1</v>
      </c>
      <c r="IC492" s="10"/>
      <c r="ID492" s="10"/>
      <c r="IE492" s="10" t="s">
        <v>1</v>
      </c>
      <c r="IF492" s="10" t="s">
        <v>1</v>
      </c>
      <c r="IG492" s="10"/>
      <c r="IH492" s="10"/>
      <c r="II492" s="10"/>
      <c r="IJ492" s="10"/>
      <c r="IK492" s="10"/>
      <c r="IL492" s="10"/>
      <c r="IM492" s="10"/>
      <c r="IN492" s="10"/>
      <c r="IO492" s="10"/>
      <c r="IP492" s="10"/>
      <c r="IQ492" s="10"/>
      <c r="IR492" s="10"/>
      <c r="IS492" t="s">
        <v>978</v>
      </c>
      <c r="IT492">
        <v>240</v>
      </c>
      <c r="IW492" t="s">
        <v>1</v>
      </c>
      <c r="IX492" t="s">
        <v>1</v>
      </c>
      <c r="IY492" t="s">
        <v>1</v>
      </c>
      <c r="IZ492" t="s">
        <v>1</v>
      </c>
      <c r="JA492" t="s">
        <v>1</v>
      </c>
      <c r="JB492" s="3" t="s">
        <v>1</v>
      </c>
      <c r="JC492" t="s">
        <v>1</v>
      </c>
      <c r="JD492" s="4" t="s">
        <v>1</v>
      </c>
      <c r="JE492" t="s">
        <v>1</v>
      </c>
      <c r="JF492" t="s">
        <v>1</v>
      </c>
      <c r="JR492" t="s">
        <v>1066</v>
      </c>
      <c r="JS492">
        <v>269.8</v>
      </c>
      <c r="JU492" t="s">
        <v>1</v>
      </c>
      <c r="JW492" t="s">
        <v>842</v>
      </c>
      <c r="JX492">
        <v>0</v>
      </c>
      <c r="JY492">
        <v>60</v>
      </c>
      <c r="JZ492" t="s">
        <v>800</v>
      </c>
      <c r="KA492" t="s">
        <v>544</v>
      </c>
      <c r="KB492" t="s">
        <v>738</v>
      </c>
      <c r="KC492" t="s">
        <v>1067</v>
      </c>
      <c r="KD492" s="1">
        <f t="shared" ref="KD492:KD493" si="65">0.1/5.9*JS492</f>
        <v>4.5728813559322035</v>
      </c>
      <c r="KE492" s="11" t="s">
        <v>1</v>
      </c>
      <c r="KF492" s="11" t="s">
        <v>1</v>
      </c>
      <c r="KG492">
        <v>0</v>
      </c>
      <c r="KH492">
        <v>60</v>
      </c>
      <c r="KI492" t="s">
        <v>800</v>
      </c>
      <c r="KJ492" t="s">
        <v>544</v>
      </c>
      <c r="KK492" t="s">
        <v>738</v>
      </c>
    </row>
    <row r="493" spans="1:297" x14ac:dyDescent="0.2">
      <c r="A493">
        <v>461</v>
      </c>
      <c r="B493" t="s">
        <v>705</v>
      </c>
      <c r="C493" t="s">
        <v>564</v>
      </c>
      <c r="D493" t="s">
        <v>541</v>
      </c>
      <c r="E493">
        <v>76</v>
      </c>
      <c r="F493" t="s">
        <v>542</v>
      </c>
      <c r="G493" t="s">
        <v>1</v>
      </c>
      <c r="H493" s="26" t="s">
        <v>1420</v>
      </c>
      <c r="I493" t="s">
        <v>1</v>
      </c>
      <c r="J493" t="s">
        <v>1</v>
      </c>
      <c r="K493" t="s">
        <v>1</v>
      </c>
      <c r="L493" t="s">
        <v>1</v>
      </c>
      <c r="M493" t="s">
        <v>1</v>
      </c>
      <c r="N493" t="s">
        <v>1</v>
      </c>
      <c r="O493" t="s">
        <v>1</v>
      </c>
      <c r="P493" t="s">
        <v>1</v>
      </c>
      <c r="Q493" t="s">
        <v>1</v>
      </c>
      <c r="R493" t="s">
        <v>1</v>
      </c>
      <c r="S493" t="s">
        <v>1</v>
      </c>
      <c r="T493" t="s">
        <v>1</v>
      </c>
      <c r="U493" t="s">
        <v>1</v>
      </c>
      <c r="V493" t="s">
        <v>1</v>
      </c>
      <c r="W493" t="s">
        <v>1</v>
      </c>
      <c r="X493" t="s">
        <v>1</v>
      </c>
      <c r="Y493" t="s">
        <v>1</v>
      </c>
      <c r="Z493" t="s">
        <v>1</v>
      </c>
      <c r="AA493" t="s">
        <v>1</v>
      </c>
      <c r="AB493" t="s">
        <v>1</v>
      </c>
      <c r="AC493" t="s">
        <v>1</v>
      </c>
      <c r="AD493" t="s">
        <v>1</v>
      </c>
      <c r="AE493" t="s">
        <v>1</v>
      </c>
      <c r="AF493" t="s">
        <v>1</v>
      </c>
      <c r="AG493" t="s">
        <v>1</v>
      </c>
      <c r="AH493" t="s">
        <v>1</v>
      </c>
      <c r="AI493" t="s">
        <v>1</v>
      </c>
      <c r="AJ493" t="s">
        <v>1</v>
      </c>
      <c r="AK493" t="s">
        <v>1</v>
      </c>
      <c r="AL493" t="s">
        <v>1</v>
      </c>
      <c r="AM493" t="s">
        <v>1</v>
      </c>
      <c r="AN493">
        <v>461</v>
      </c>
      <c r="AO493">
        <f t="shared" si="59"/>
        <v>461</v>
      </c>
      <c r="AP493">
        <f t="shared" si="62"/>
        <v>76</v>
      </c>
      <c r="AQ493">
        <f t="shared" si="63"/>
        <v>76</v>
      </c>
      <c r="AR493" s="26" t="s">
        <v>1355</v>
      </c>
      <c r="AS493" s="26" t="s">
        <v>1356</v>
      </c>
      <c r="AT493" t="s">
        <v>716</v>
      </c>
      <c r="AU493" t="s">
        <v>1</v>
      </c>
      <c r="AV493" t="s">
        <v>1</v>
      </c>
      <c r="AW493">
        <v>53.92</v>
      </c>
      <c r="AX493">
        <v>9.9499999999999993</v>
      </c>
      <c r="AY493" t="s">
        <v>737</v>
      </c>
      <c r="BA493" s="3">
        <v>4</v>
      </c>
      <c r="BB493" s="3"/>
      <c r="BC493" s="3"/>
      <c r="BD493" s="3"/>
      <c r="BE493" s="3"/>
      <c r="BF493">
        <v>2009</v>
      </c>
      <c r="BG493" s="24" t="s">
        <v>733</v>
      </c>
      <c r="BH493" s="24" t="s">
        <v>733</v>
      </c>
      <c r="BI493" s="24" t="s">
        <v>733</v>
      </c>
      <c r="BJ493" s="24" t="s">
        <v>732</v>
      </c>
      <c r="BK493" s="24" t="s">
        <v>733</v>
      </c>
      <c r="BL493" s="25" t="s">
        <v>733</v>
      </c>
      <c r="BM493" s="24" t="s">
        <v>733</v>
      </c>
      <c r="BN493" s="24" t="s">
        <v>732</v>
      </c>
      <c r="BO493" s="24" t="s">
        <v>733</v>
      </c>
      <c r="BP493" s="24" t="s">
        <v>733</v>
      </c>
      <c r="BQ493" s="24" t="s">
        <v>945</v>
      </c>
      <c r="BR493" s="24" t="s">
        <v>945</v>
      </c>
      <c r="BS493" s="25" t="s">
        <v>934</v>
      </c>
      <c r="BT493" s="24" t="s">
        <v>934</v>
      </c>
      <c r="BU493" s="24" t="s">
        <v>934</v>
      </c>
      <c r="BV493" s="24" t="s">
        <v>934</v>
      </c>
      <c r="BW493" s="24" t="s">
        <v>934</v>
      </c>
      <c r="BX493" s="24" t="s">
        <v>934</v>
      </c>
      <c r="BY493" s="25" t="s">
        <v>945</v>
      </c>
      <c r="BZ493" t="s">
        <v>5</v>
      </c>
      <c r="CB493" t="s">
        <v>1</v>
      </c>
      <c r="CC493" s="4" t="s">
        <v>1</v>
      </c>
      <c r="CD493" s="4"/>
      <c r="CE493" s="4"/>
      <c r="CF493" t="s">
        <v>1</v>
      </c>
      <c r="CG493" t="s">
        <v>1</v>
      </c>
      <c r="CH493" t="s">
        <v>805</v>
      </c>
      <c r="CI493" s="28">
        <v>1</v>
      </c>
      <c r="CJ493" s="9" t="s">
        <v>1</v>
      </c>
      <c r="CK493" s="9" t="s">
        <v>1</v>
      </c>
      <c r="CL493" s="4" t="s">
        <v>1</v>
      </c>
      <c r="CM493" t="s">
        <v>847</v>
      </c>
      <c r="CN493" s="4">
        <v>218.96621955300716</v>
      </c>
      <c r="CO493" s="4" t="s">
        <v>1</v>
      </c>
      <c r="CP493" s="4" t="s">
        <v>1</v>
      </c>
      <c r="CQ493" s="4" t="s">
        <v>1</v>
      </c>
      <c r="CR493" s="4" t="s">
        <v>1</v>
      </c>
      <c r="CS493" s="4" t="s">
        <v>1</v>
      </c>
      <c r="CT493" s="4" t="s">
        <v>1</v>
      </c>
      <c r="CU493" s="4" t="s">
        <v>1</v>
      </c>
      <c r="CV493" t="s">
        <v>853</v>
      </c>
      <c r="CW493">
        <v>100</v>
      </c>
      <c r="CX493">
        <v>0</v>
      </c>
      <c r="CY493">
        <v>30</v>
      </c>
      <c r="CZ493" s="26" t="s">
        <v>1358</v>
      </c>
      <c r="DA493" t="s">
        <v>734</v>
      </c>
      <c r="DB493">
        <v>91</v>
      </c>
      <c r="DC493">
        <v>0</v>
      </c>
      <c r="DD493">
        <v>30</v>
      </c>
      <c r="DE493" s="26" t="s">
        <v>1358</v>
      </c>
      <c r="DF493" t="s">
        <v>735</v>
      </c>
      <c r="DG493">
        <v>5</v>
      </c>
      <c r="DH493">
        <v>0</v>
      </c>
      <c r="DI493">
        <v>30</v>
      </c>
      <c r="DJ493" s="26" t="s">
        <v>1358</v>
      </c>
      <c r="DK493" t="s">
        <v>736</v>
      </c>
      <c r="DL493">
        <v>4</v>
      </c>
      <c r="DM493">
        <v>0</v>
      </c>
      <c r="DN493">
        <v>30</v>
      </c>
      <c r="DO493" s="26" t="s">
        <v>1358</v>
      </c>
      <c r="DP493" t="s">
        <v>6</v>
      </c>
      <c r="DQ493" t="s">
        <v>1</v>
      </c>
      <c r="DR493">
        <v>4.8</v>
      </c>
      <c r="DS493">
        <v>0</v>
      </c>
      <c r="DT493">
        <v>30</v>
      </c>
      <c r="DU493" s="26" t="s">
        <v>1358</v>
      </c>
      <c r="EA493" t="s">
        <v>982</v>
      </c>
      <c r="EB493">
        <v>7.5</v>
      </c>
      <c r="EC493">
        <v>0</v>
      </c>
      <c r="ED493">
        <v>30</v>
      </c>
      <c r="EE493" s="26" t="s">
        <v>1358</v>
      </c>
      <c r="EF493" s="26"/>
      <c r="FZ493" t="s">
        <v>806</v>
      </c>
      <c r="GA493">
        <v>881.5</v>
      </c>
      <c r="GE493" s="26" t="s">
        <v>1358</v>
      </c>
      <c r="HA493" s="5" t="s">
        <v>1</v>
      </c>
      <c r="HB493" s="4" t="s">
        <v>1</v>
      </c>
      <c r="HC493" t="s">
        <v>1</v>
      </c>
      <c r="HD493" t="s">
        <v>1</v>
      </c>
      <c r="HE493" t="s">
        <v>1</v>
      </c>
      <c r="HF493" s="5" t="s">
        <v>1063</v>
      </c>
      <c r="HG493" s="4">
        <v>0.3</v>
      </c>
      <c r="HH493">
        <v>0</v>
      </c>
      <c r="HI493">
        <v>30</v>
      </c>
      <c r="HJ493" s="26" t="s">
        <v>1358</v>
      </c>
      <c r="HK493" t="s">
        <v>1</v>
      </c>
      <c r="HL493" t="s">
        <v>1</v>
      </c>
      <c r="HM493" t="s">
        <v>1</v>
      </c>
      <c r="HN493" t="s">
        <v>1</v>
      </c>
      <c r="HO493" t="s">
        <v>1</v>
      </c>
      <c r="HP493" t="s">
        <v>1</v>
      </c>
      <c r="HZ493" t="s">
        <v>1</v>
      </c>
      <c r="IA493" t="s">
        <v>1</v>
      </c>
      <c r="IB493" s="10" t="s">
        <v>1</v>
      </c>
      <c r="IC493" s="10"/>
      <c r="ID493" s="10"/>
      <c r="IE493" s="10" t="s">
        <v>1</v>
      </c>
      <c r="IF493" s="10" t="s">
        <v>1</v>
      </c>
      <c r="IG493" s="10"/>
      <c r="IH493" s="10"/>
      <c r="II493" s="10"/>
      <c r="IJ493" s="10"/>
      <c r="IK493" s="10"/>
      <c r="IL493" s="10"/>
      <c r="IM493" s="10"/>
      <c r="IN493" s="10"/>
      <c r="IO493" s="10"/>
      <c r="IP493" s="10"/>
      <c r="IQ493" s="10"/>
      <c r="IR493" s="10"/>
      <c r="IS493" t="s">
        <v>978</v>
      </c>
      <c r="IT493">
        <v>360</v>
      </c>
      <c r="IW493" t="s">
        <v>1</v>
      </c>
      <c r="IX493" t="s">
        <v>1</v>
      </c>
      <c r="IY493" t="s">
        <v>1</v>
      </c>
      <c r="IZ493" t="s">
        <v>1</v>
      </c>
      <c r="JA493" t="s">
        <v>1</v>
      </c>
      <c r="JB493" s="3" t="s">
        <v>1</v>
      </c>
      <c r="JC493" t="s">
        <v>1</v>
      </c>
      <c r="JD493" s="4" t="s">
        <v>1</v>
      </c>
      <c r="JE493" t="s">
        <v>1</v>
      </c>
      <c r="JF493" t="s">
        <v>1</v>
      </c>
      <c r="JR493" t="s">
        <v>1066</v>
      </c>
      <c r="JS493">
        <v>379.9</v>
      </c>
      <c r="JU493" t="s">
        <v>1</v>
      </c>
      <c r="JW493" t="s">
        <v>842</v>
      </c>
      <c r="JX493">
        <v>0</v>
      </c>
      <c r="JY493">
        <v>60</v>
      </c>
      <c r="JZ493" t="s">
        <v>800</v>
      </c>
      <c r="KA493" t="s">
        <v>544</v>
      </c>
      <c r="KB493" t="s">
        <v>738</v>
      </c>
      <c r="KC493" t="s">
        <v>1067</v>
      </c>
      <c r="KD493" s="1">
        <f t="shared" si="65"/>
        <v>6.4389830508474573</v>
      </c>
      <c r="KE493" s="11" t="s">
        <v>1</v>
      </c>
      <c r="KF493" s="11" t="s">
        <v>1</v>
      </c>
      <c r="KG493">
        <v>0</v>
      </c>
      <c r="KH493">
        <v>60</v>
      </c>
      <c r="KI493" t="s">
        <v>800</v>
      </c>
      <c r="KJ493" t="s">
        <v>544</v>
      </c>
      <c r="KK493" t="s">
        <v>738</v>
      </c>
    </row>
    <row r="494" spans="1:297" x14ac:dyDescent="0.2">
      <c r="A494">
        <v>462</v>
      </c>
      <c r="B494" t="s">
        <v>705</v>
      </c>
      <c r="C494" t="s">
        <v>566</v>
      </c>
      <c r="D494" t="s">
        <v>565</v>
      </c>
      <c r="E494">
        <v>77</v>
      </c>
      <c r="F494" t="s">
        <v>783</v>
      </c>
      <c r="G494" t="s">
        <v>1</v>
      </c>
      <c r="H494" s="26" t="s">
        <v>1420</v>
      </c>
      <c r="I494" t="s">
        <v>1</v>
      </c>
      <c r="J494" t="s">
        <v>1</v>
      </c>
      <c r="K494" t="s">
        <v>1</v>
      </c>
      <c r="L494" t="s">
        <v>1</v>
      </c>
      <c r="M494" t="s">
        <v>1</v>
      </c>
      <c r="N494" t="s">
        <v>1</v>
      </c>
      <c r="O494" t="s">
        <v>1</v>
      </c>
      <c r="P494" t="s">
        <v>1</v>
      </c>
      <c r="Q494" t="s">
        <v>1</v>
      </c>
      <c r="R494" t="s">
        <v>1</v>
      </c>
      <c r="S494" t="s">
        <v>1</v>
      </c>
      <c r="T494" t="s">
        <v>1</v>
      </c>
      <c r="U494" t="s">
        <v>1</v>
      </c>
      <c r="V494" t="s">
        <v>1</v>
      </c>
      <c r="W494" t="s">
        <v>1</v>
      </c>
      <c r="X494" t="s">
        <v>1</v>
      </c>
      <c r="Y494" t="s">
        <v>1</v>
      </c>
      <c r="Z494" t="s">
        <v>1</v>
      </c>
      <c r="AA494" t="s">
        <v>1</v>
      </c>
      <c r="AB494" t="s">
        <v>1</v>
      </c>
      <c r="AC494" t="s">
        <v>1</v>
      </c>
      <c r="AD494" t="s">
        <v>1</v>
      </c>
      <c r="AE494" t="s">
        <v>1</v>
      </c>
      <c r="AF494" t="s">
        <v>1</v>
      </c>
      <c r="AG494" t="s">
        <v>1</v>
      </c>
      <c r="AH494" t="s">
        <v>1</v>
      </c>
      <c r="AI494" t="s">
        <v>1</v>
      </c>
      <c r="AJ494" t="s">
        <v>1</v>
      </c>
      <c r="AK494" t="s">
        <v>1</v>
      </c>
      <c r="AL494" t="s">
        <v>1</v>
      </c>
      <c r="AM494" t="s">
        <v>1</v>
      </c>
      <c r="AN494">
        <v>462</v>
      </c>
      <c r="AO494">
        <f t="shared" si="59"/>
        <v>462</v>
      </c>
      <c r="AP494">
        <f t="shared" si="62"/>
        <v>77</v>
      </c>
      <c r="AQ494">
        <f t="shared" si="63"/>
        <v>77</v>
      </c>
      <c r="AR494" s="26" t="s">
        <v>1355</v>
      </c>
      <c r="AS494" s="26" t="s">
        <v>1356</v>
      </c>
      <c r="AT494" t="s">
        <v>713</v>
      </c>
      <c r="AU494" t="s">
        <v>1</v>
      </c>
      <c r="AV494" t="s">
        <v>1</v>
      </c>
      <c r="AW494">
        <v>45.75</v>
      </c>
      <c r="AX494">
        <v>-95.12</v>
      </c>
      <c r="AY494" t="s">
        <v>737</v>
      </c>
      <c r="BA494" s="3">
        <v>3</v>
      </c>
      <c r="BB494" s="3"/>
      <c r="BC494" s="3"/>
      <c r="BD494" s="3"/>
      <c r="BE494" s="3"/>
      <c r="BF494">
        <v>1982</v>
      </c>
      <c r="BG494" s="24" t="s">
        <v>733</v>
      </c>
      <c r="BH494" s="24" t="s">
        <v>733</v>
      </c>
      <c r="BI494" s="24" t="s">
        <v>733</v>
      </c>
      <c r="BJ494" s="24" t="s">
        <v>732</v>
      </c>
      <c r="BK494" s="24" t="s">
        <v>733</v>
      </c>
      <c r="BL494" s="25" t="s">
        <v>733</v>
      </c>
      <c r="BM494" s="24" t="s">
        <v>733</v>
      </c>
      <c r="BN494" s="24" t="s">
        <v>732</v>
      </c>
      <c r="BO494" s="24" t="s">
        <v>733</v>
      </c>
      <c r="BP494" s="24" t="s">
        <v>733</v>
      </c>
      <c r="BQ494" s="24" t="s">
        <v>945</v>
      </c>
      <c r="BR494" s="24" t="s">
        <v>945</v>
      </c>
      <c r="BS494" s="25" t="s">
        <v>934</v>
      </c>
      <c r="BT494" s="24" t="s">
        <v>934</v>
      </c>
      <c r="BU494" s="24" t="s">
        <v>934</v>
      </c>
      <c r="BV494" s="24" t="s">
        <v>934</v>
      </c>
      <c r="BW494" s="24" t="s">
        <v>934</v>
      </c>
      <c r="BX494" s="24" t="s">
        <v>934</v>
      </c>
      <c r="BY494" s="25" t="s">
        <v>945</v>
      </c>
      <c r="BZ494" t="s">
        <v>5</v>
      </c>
      <c r="CB494" t="s">
        <v>1</v>
      </c>
      <c r="CC494" s="4">
        <v>3816.6666666666665</v>
      </c>
      <c r="CD494" s="4"/>
      <c r="CE494" s="4"/>
      <c r="CF494" t="s">
        <v>793</v>
      </c>
      <c r="CG494">
        <v>100</v>
      </c>
      <c r="CH494" t="s">
        <v>805</v>
      </c>
      <c r="CI494" s="28">
        <v>1</v>
      </c>
      <c r="CJ494" s="10" t="s">
        <v>1442</v>
      </c>
      <c r="CK494" t="s">
        <v>807</v>
      </c>
      <c r="CL494" s="4">
        <v>4786.6666666666661</v>
      </c>
      <c r="CM494" t="s">
        <v>847</v>
      </c>
      <c r="CN494" s="4">
        <f>AVERAGE(43+24,49+27,28+19)</f>
        <v>63.333333333333336</v>
      </c>
      <c r="CO494" s="4" t="s">
        <v>1</v>
      </c>
      <c r="CP494" s="4" t="s">
        <v>1</v>
      </c>
      <c r="CQ494" s="4" t="s">
        <v>1</v>
      </c>
      <c r="CR494" s="4" t="s">
        <v>1</v>
      </c>
      <c r="CS494" s="4" t="s">
        <v>1</v>
      </c>
      <c r="CT494" s="4" t="s">
        <v>1</v>
      </c>
      <c r="CU494" s="4" t="s">
        <v>1</v>
      </c>
      <c r="CV494" t="s">
        <v>855</v>
      </c>
      <c r="CW494">
        <v>100</v>
      </c>
      <c r="CX494">
        <v>0</v>
      </c>
      <c r="CY494">
        <v>30</v>
      </c>
      <c r="CZ494" s="26" t="s">
        <v>1358</v>
      </c>
      <c r="DA494" t="s">
        <v>734</v>
      </c>
      <c r="DB494">
        <v>63.4</v>
      </c>
      <c r="DC494">
        <v>0</v>
      </c>
      <c r="DD494">
        <v>30</v>
      </c>
      <c r="DE494" s="26" t="s">
        <v>1358</v>
      </c>
      <c r="DF494" t="s">
        <v>735</v>
      </c>
      <c r="DG494">
        <v>20.3</v>
      </c>
      <c r="DH494">
        <v>0</v>
      </c>
      <c r="DI494">
        <v>30</v>
      </c>
      <c r="DJ494" s="26" t="s">
        <v>1358</v>
      </c>
      <c r="DK494" t="s">
        <v>736</v>
      </c>
      <c r="DL494">
        <v>16.2</v>
      </c>
      <c r="DM494">
        <v>0</v>
      </c>
      <c r="DN494">
        <v>30</v>
      </c>
      <c r="DO494" s="26" t="s">
        <v>1358</v>
      </c>
      <c r="DP494" t="s">
        <v>6</v>
      </c>
      <c r="DQ494" t="s">
        <v>1</v>
      </c>
      <c r="DR494">
        <v>5.8</v>
      </c>
      <c r="DS494">
        <v>0</v>
      </c>
      <c r="DT494">
        <v>30</v>
      </c>
      <c r="DU494" s="26" t="s">
        <v>1358</v>
      </c>
      <c r="EA494" t="s">
        <v>982</v>
      </c>
      <c r="EB494">
        <v>17.100000000000001</v>
      </c>
      <c r="EC494">
        <v>0</v>
      </c>
      <c r="ED494">
        <v>30</v>
      </c>
      <c r="EE494" s="26" t="s">
        <v>1358</v>
      </c>
      <c r="EF494" s="26"/>
      <c r="FZ494" t="s">
        <v>806</v>
      </c>
      <c r="GA494">
        <v>662</v>
      </c>
      <c r="GE494" s="26" t="s">
        <v>1358</v>
      </c>
      <c r="HA494" s="5" t="s">
        <v>1069</v>
      </c>
      <c r="HB494" s="4">
        <v>13.5</v>
      </c>
      <c r="HC494">
        <v>0</v>
      </c>
      <c r="HD494">
        <v>30</v>
      </c>
      <c r="HE494" s="26" t="s">
        <v>1358</v>
      </c>
      <c r="HF494" s="5" t="s">
        <v>1063</v>
      </c>
      <c r="HG494" s="4">
        <v>2.15</v>
      </c>
      <c r="HH494">
        <v>0</v>
      </c>
      <c r="HI494">
        <v>30</v>
      </c>
      <c r="HJ494" s="26" t="s">
        <v>1358</v>
      </c>
      <c r="HK494" t="s">
        <v>815</v>
      </c>
      <c r="HL494">
        <v>1.38</v>
      </c>
      <c r="HM494">
        <v>0</v>
      </c>
      <c r="HN494">
        <v>30</v>
      </c>
      <c r="HO494" t="s">
        <v>1456</v>
      </c>
      <c r="HP494" s="26" t="s">
        <v>1358</v>
      </c>
      <c r="HZ494" t="s">
        <v>1</v>
      </c>
      <c r="IA494" t="s">
        <v>1</v>
      </c>
      <c r="IB494" s="10" t="s">
        <v>1</v>
      </c>
      <c r="IC494" s="10"/>
      <c r="ID494" s="10"/>
      <c r="IE494" s="10" t="s">
        <v>1</v>
      </c>
      <c r="IF494" s="10" t="s">
        <v>1</v>
      </c>
      <c r="IG494" s="10"/>
      <c r="IH494" s="10"/>
      <c r="II494" s="10"/>
      <c r="IJ494" s="10"/>
      <c r="IK494" s="10"/>
      <c r="IL494" s="10"/>
      <c r="IM494" s="10"/>
      <c r="IN494" s="10"/>
      <c r="IO494" s="10"/>
      <c r="IP494" s="10"/>
      <c r="IQ494" s="10"/>
      <c r="IR494" s="10"/>
      <c r="IS494" t="s">
        <v>1</v>
      </c>
      <c r="IT494" t="s">
        <v>1</v>
      </c>
      <c r="IW494" t="s">
        <v>1</v>
      </c>
      <c r="IX494" t="s">
        <v>1</v>
      </c>
      <c r="IY494" t="s">
        <v>808</v>
      </c>
      <c r="IZ494">
        <v>1200</v>
      </c>
      <c r="JA494" t="s">
        <v>1</v>
      </c>
      <c r="JB494" s="3" t="s">
        <v>1</v>
      </c>
      <c r="JC494" t="s">
        <v>1</v>
      </c>
      <c r="JD494" s="4" t="s">
        <v>1</v>
      </c>
      <c r="JE494" t="s">
        <v>1</v>
      </c>
      <c r="JF494" t="s">
        <v>1</v>
      </c>
      <c r="JR494" t="s">
        <v>1066</v>
      </c>
      <c r="JS494">
        <v>62.9</v>
      </c>
      <c r="JU494" t="s">
        <v>1</v>
      </c>
      <c r="JW494" t="s">
        <v>1</v>
      </c>
      <c r="JX494">
        <v>0</v>
      </c>
      <c r="JY494">
        <v>122</v>
      </c>
      <c r="JZ494" t="s">
        <v>796</v>
      </c>
      <c r="KA494" t="s">
        <v>567</v>
      </c>
      <c r="KB494" t="s">
        <v>738</v>
      </c>
      <c r="KC494" t="s">
        <v>1</v>
      </c>
      <c r="KD494" t="s">
        <v>1</v>
      </c>
      <c r="KE494" t="s">
        <v>1</v>
      </c>
      <c r="KF494" t="s">
        <v>1</v>
      </c>
      <c r="KG494" t="s">
        <v>1</v>
      </c>
      <c r="KH494" t="s">
        <v>1</v>
      </c>
      <c r="KI494" t="s">
        <v>1</v>
      </c>
      <c r="KJ494" t="s">
        <v>1</v>
      </c>
      <c r="KK494" t="s">
        <v>1</v>
      </c>
    </row>
    <row r="495" spans="1:297" x14ac:dyDescent="0.2">
      <c r="A495">
        <v>463</v>
      </c>
      <c r="B495" t="s">
        <v>705</v>
      </c>
      <c r="C495" t="s">
        <v>568</v>
      </c>
      <c r="D495" t="s">
        <v>565</v>
      </c>
      <c r="E495">
        <v>77</v>
      </c>
      <c r="F495" t="s">
        <v>783</v>
      </c>
      <c r="G495" t="s">
        <v>1</v>
      </c>
      <c r="H495" s="26" t="s">
        <v>1420</v>
      </c>
      <c r="I495" t="s">
        <v>1</v>
      </c>
      <c r="J495" t="s">
        <v>1</v>
      </c>
      <c r="K495" t="s">
        <v>1</v>
      </c>
      <c r="L495" t="s">
        <v>1</v>
      </c>
      <c r="M495" t="s">
        <v>1</v>
      </c>
      <c r="N495" t="s">
        <v>1</v>
      </c>
      <c r="O495" t="s">
        <v>1</v>
      </c>
      <c r="P495" t="s">
        <v>1</v>
      </c>
      <c r="Q495" t="s">
        <v>1</v>
      </c>
      <c r="R495" t="s">
        <v>1</v>
      </c>
      <c r="S495" t="s">
        <v>1</v>
      </c>
      <c r="T495" t="s">
        <v>1</v>
      </c>
      <c r="U495" t="s">
        <v>1</v>
      </c>
      <c r="V495" t="s">
        <v>1</v>
      </c>
      <c r="W495" t="s">
        <v>1</v>
      </c>
      <c r="X495" t="s">
        <v>1</v>
      </c>
      <c r="Y495" t="s">
        <v>1</v>
      </c>
      <c r="Z495" t="s">
        <v>1</v>
      </c>
      <c r="AA495" t="s">
        <v>1</v>
      </c>
      <c r="AB495" t="s">
        <v>1</v>
      </c>
      <c r="AC495" t="s">
        <v>1</v>
      </c>
      <c r="AD495" t="s">
        <v>1</v>
      </c>
      <c r="AE495" t="s">
        <v>1</v>
      </c>
      <c r="AF495" t="s">
        <v>1</v>
      </c>
      <c r="AG495" t="s">
        <v>1</v>
      </c>
      <c r="AH495" t="s">
        <v>1</v>
      </c>
      <c r="AI495" t="s">
        <v>1</v>
      </c>
      <c r="AJ495" t="s">
        <v>1</v>
      </c>
      <c r="AK495" t="s">
        <v>1</v>
      </c>
      <c r="AL495" t="s">
        <v>1</v>
      </c>
      <c r="AM495" t="s">
        <v>1</v>
      </c>
      <c r="AN495">
        <v>463</v>
      </c>
      <c r="AO495">
        <f t="shared" si="59"/>
        <v>463</v>
      </c>
      <c r="AP495">
        <f t="shared" si="62"/>
        <v>77</v>
      </c>
      <c r="AQ495">
        <f t="shared" si="63"/>
        <v>77</v>
      </c>
      <c r="AR495" s="26" t="s">
        <v>1355</v>
      </c>
      <c r="AS495" s="26" t="s">
        <v>1356</v>
      </c>
      <c r="AT495" t="s">
        <v>713</v>
      </c>
      <c r="AU495" t="s">
        <v>1</v>
      </c>
      <c r="AV495" t="s">
        <v>1</v>
      </c>
      <c r="AW495">
        <v>45.75</v>
      </c>
      <c r="AX495">
        <v>-95.12</v>
      </c>
      <c r="AY495" t="s">
        <v>737</v>
      </c>
      <c r="BA495" s="3">
        <v>3</v>
      </c>
      <c r="BB495" s="3"/>
      <c r="BC495" s="3"/>
      <c r="BD495" s="3"/>
      <c r="BE495" s="3"/>
      <c r="BF495">
        <v>1982</v>
      </c>
      <c r="BG495" s="24" t="s">
        <v>733</v>
      </c>
      <c r="BH495" s="24" t="s">
        <v>733</v>
      </c>
      <c r="BI495" s="24" t="s">
        <v>733</v>
      </c>
      <c r="BJ495" s="24" t="s">
        <v>732</v>
      </c>
      <c r="BK495" s="24" t="s">
        <v>733</v>
      </c>
      <c r="BL495" s="25" t="s">
        <v>733</v>
      </c>
      <c r="BM495" s="24" t="s">
        <v>733</v>
      </c>
      <c r="BN495" s="24" t="s">
        <v>732</v>
      </c>
      <c r="BO495" s="24" t="s">
        <v>733</v>
      </c>
      <c r="BP495" s="24" t="s">
        <v>733</v>
      </c>
      <c r="BQ495" s="24" t="s">
        <v>945</v>
      </c>
      <c r="BR495" s="24" t="s">
        <v>945</v>
      </c>
      <c r="BS495" s="25" t="s">
        <v>934</v>
      </c>
      <c r="BT495" s="24" t="s">
        <v>934</v>
      </c>
      <c r="BU495" s="24" t="s">
        <v>934</v>
      </c>
      <c r="BV495" s="24" t="s">
        <v>934</v>
      </c>
      <c r="BW495" s="24" t="s">
        <v>934</v>
      </c>
      <c r="BX495" s="24" t="s">
        <v>934</v>
      </c>
      <c r="BY495" s="25" t="s">
        <v>945</v>
      </c>
      <c r="BZ495" t="s">
        <v>5</v>
      </c>
      <c r="CB495" t="s">
        <v>1</v>
      </c>
      <c r="CC495" s="4">
        <v>7953.333333333333</v>
      </c>
      <c r="CD495" s="4"/>
      <c r="CE495" s="4"/>
      <c r="CF495" t="s">
        <v>793</v>
      </c>
      <c r="CG495">
        <v>100</v>
      </c>
      <c r="CH495" t="s">
        <v>805</v>
      </c>
      <c r="CI495" s="28">
        <v>1</v>
      </c>
      <c r="CJ495" s="10" t="s">
        <v>1442</v>
      </c>
      <c r="CK495" t="s">
        <v>807</v>
      </c>
      <c r="CL495" s="4">
        <v>6453.333333333333</v>
      </c>
      <c r="CM495" t="s">
        <v>847</v>
      </c>
      <c r="CN495" s="4">
        <f>AVERAGE(107+45,100+40,87+34)</f>
        <v>137.66666666666666</v>
      </c>
      <c r="CO495" s="4" t="s">
        <v>1</v>
      </c>
      <c r="CP495" s="4" t="s">
        <v>1</v>
      </c>
      <c r="CQ495" s="4" t="s">
        <v>1</v>
      </c>
      <c r="CR495" s="4" t="s">
        <v>1</v>
      </c>
      <c r="CS495" s="4" t="s">
        <v>1</v>
      </c>
      <c r="CT495" s="4" t="s">
        <v>1</v>
      </c>
      <c r="CU495" s="4" t="s">
        <v>1</v>
      </c>
      <c r="CV495" t="s">
        <v>855</v>
      </c>
      <c r="CW495">
        <v>100</v>
      </c>
      <c r="CX495">
        <v>0</v>
      </c>
      <c r="CY495">
        <v>30</v>
      </c>
      <c r="CZ495" s="26" t="s">
        <v>1358</v>
      </c>
      <c r="DA495" t="s">
        <v>734</v>
      </c>
      <c r="DB495">
        <v>63.4</v>
      </c>
      <c r="DC495">
        <v>0</v>
      </c>
      <c r="DD495">
        <v>30</v>
      </c>
      <c r="DE495" s="26" t="s">
        <v>1358</v>
      </c>
      <c r="DF495" t="s">
        <v>735</v>
      </c>
      <c r="DG495">
        <v>20.3</v>
      </c>
      <c r="DH495">
        <v>0</v>
      </c>
      <c r="DI495">
        <v>30</v>
      </c>
      <c r="DJ495" s="26" t="s">
        <v>1358</v>
      </c>
      <c r="DK495" t="s">
        <v>736</v>
      </c>
      <c r="DL495">
        <v>16.2</v>
      </c>
      <c r="DM495">
        <v>0</v>
      </c>
      <c r="DN495">
        <v>30</v>
      </c>
      <c r="DO495" s="26" t="s">
        <v>1358</v>
      </c>
      <c r="DP495" t="s">
        <v>6</v>
      </c>
      <c r="DQ495" t="s">
        <v>1</v>
      </c>
      <c r="DR495">
        <v>5.8</v>
      </c>
      <c r="DS495">
        <v>0</v>
      </c>
      <c r="DT495">
        <v>30</v>
      </c>
      <c r="DU495" s="26" t="s">
        <v>1358</v>
      </c>
      <c r="EA495" t="s">
        <v>982</v>
      </c>
      <c r="EB495">
        <v>17.100000000000001</v>
      </c>
      <c r="EC495">
        <v>0</v>
      </c>
      <c r="ED495">
        <v>30</v>
      </c>
      <c r="EE495" s="26" t="s">
        <v>1358</v>
      </c>
      <c r="EF495" s="26"/>
      <c r="FZ495" t="s">
        <v>806</v>
      </c>
      <c r="GA495">
        <v>662</v>
      </c>
      <c r="GE495" s="26" t="s">
        <v>1358</v>
      </c>
      <c r="HA495" s="5" t="s">
        <v>1069</v>
      </c>
      <c r="HB495" s="4">
        <v>13.5</v>
      </c>
      <c r="HC495">
        <v>0</v>
      </c>
      <c r="HD495">
        <v>30</v>
      </c>
      <c r="HE495" s="26" t="s">
        <v>1358</v>
      </c>
      <c r="HF495" s="5" t="s">
        <v>1063</v>
      </c>
      <c r="HG495" s="4">
        <v>2.15</v>
      </c>
      <c r="HH495">
        <v>0</v>
      </c>
      <c r="HI495">
        <v>30</v>
      </c>
      <c r="HJ495" s="26" t="s">
        <v>1358</v>
      </c>
      <c r="HK495" t="s">
        <v>815</v>
      </c>
      <c r="HL495">
        <v>1.38</v>
      </c>
      <c r="HM495">
        <v>0</v>
      </c>
      <c r="HN495">
        <v>30</v>
      </c>
      <c r="HO495" t="s">
        <v>1456</v>
      </c>
      <c r="HP495" s="26" t="s">
        <v>1358</v>
      </c>
      <c r="HZ495" t="s">
        <v>969</v>
      </c>
      <c r="IA495">
        <v>90</v>
      </c>
      <c r="IB495" s="10" t="s">
        <v>1</v>
      </c>
      <c r="IC495" s="10"/>
      <c r="ID495" s="10"/>
      <c r="IE495" s="10" t="s">
        <v>843</v>
      </c>
      <c r="IF495" s="10" t="b">
        <v>1</v>
      </c>
      <c r="IG495" s="10"/>
      <c r="IH495" s="10"/>
      <c r="II495" s="10"/>
      <c r="IJ495" s="10"/>
      <c r="IK495" s="10"/>
      <c r="IL495" s="10"/>
      <c r="IM495" s="10"/>
      <c r="IN495" s="10"/>
      <c r="IO495" s="10"/>
      <c r="IP495" s="10"/>
      <c r="IQ495" s="10"/>
      <c r="IR495" s="10"/>
      <c r="IS495" t="s">
        <v>1</v>
      </c>
      <c r="IT495" t="s">
        <v>1</v>
      </c>
      <c r="IW495" t="s">
        <v>1</v>
      </c>
      <c r="IX495" t="s">
        <v>1</v>
      </c>
      <c r="IY495" t="s">
        <v>808</v>
      </c>
      <c r="IZ495">
        <v>1200</v>
      </c>
      <c r="JA495" t="s">
        <v>1</v>
      </c>
      <c r="JB495" s="3" t="s">
        <v>1</v>
      </c>
      <c r="JC495" t="s">
        <v>1</v>
      </c>
      <c r="JD495" s="4" t="s">
        <v>1</v>
      </c>
      <c r="JE495" t="s">
        <v>1</v>
      </c>
      <c r="JF495" t="s">
        <v>1</v>
      </c>
      <c r="JR495" t="s">
        <v>1066</v>
      </c>
      <c r="JS495">
        <v>124.4</v>
      </c>
      <c r="JU495" t="s">
        <v>1</v>
      </c>
      <c r="JW495" t="s">
        <v>1</v>
      </c>
      <c r="JX495">
        <v>0</v>
      </c>
      <c r="JY495">
        <v>122</v>
      </c>
      <c r="JZ495" t="s">
        <v>796</v>
      </c>
      <c r="KA495" t="s">
        <v>567</v>
      </c>
      <c r="KB495" t="s">
        <v>738</v>
      </c>
      <c r="KC495" t="s">
        <v>1</v>
      </c>
      <c r="KD495" t="s">
        <v>1</v>
      </c>
      <c r="KE495" t="s">
        <v>1</v>
      </c>
      <c r="KF495" t="s">
        <v>1</v>
      </c>
      <c r="KG495" t="s">
        <v>1</v>
      </c>
      <c r="KH495" t="s">
        <v>1</v>
      </c>
      <c r="KI495" t="s">
        <v>1</v>
      </c>
      <c r="KJ495" t="s">
        <v>1</v>
      </c>
      <c r="KK495" t="s">
        <v>1</v>
      </c>
    </row>
    <row r="496" spans="1:297" x14ac:dyDescent="0.2">
      <c r="A496">
        <v>464</v>
      </c>
      <c r="B496" t="s">
        <v>705</v>
      </c>
      <c r="C496" t="s">
        <v>569</v>
      </c>
      <c r="D496" t="s">
        <v>565</v>
      </c>
      <c r="E496">
        <v>77</v>
      </c>
      <c r="F496" t="s">
        <v>783</v>
      </c>
      <c r="G496" t="s">
        <v>1</v>
      </c>
      <c r="H496" s="26" t="s">
        <v>1420</v>
      </c>
      <c r="I496" t="s">
        <v>1</v>
      </c>
      <c r="J496" t="s">
        <v>1</v>
      </c>
      <c r="K496" t="s">
        <v>1</v>
      </c>
      <c r="L496" t="s">
        <v>1</v>
      </c>
      <c r="M496" t="s">
        <v>1</v>
      </c>
      <c r="N496" t="s">
        <v>1</v>
      </c>
      <c r="O496" t="s">
        <v>1</v>
      </c>
      <c r="P496" t="s">
        <v>1</v>
      </c>
      <c r="Q496" t="s">
        <v>1</v>
      </c>
      <c r="R496" t="s">
        <v>1</v>
      </c>
      <c r="S496" t="s">
        <v>1</v>
      </c>
      <c r="T496" t="s">
        <v>1</v>
      </c>
      <c r="U496" t="s">
        <v>1</v>
      </c>
      <c r="V496" t="s">
        <v>1</v>
      </c>
      <c r="W496" t="s">
        <v>1</v>
      </c>
      <c r="X496" t="s">
        <v>1</v>
      </c>
      <c r="Y496" t="s">
        <v>1</v>
      </c>
      <c r="Z496" t="s">
        <v>1</v>
      </c>
      <c r="AA496" t="s">
        <v>1</v>
      </c>
      <c r="AB496" t="s">
        <v>1</v>
      </c>
      <c r="AC496" t="s">
        <v>1</v>
      </c>
      <c r="AD496" t="s">
        <v>1</v>
      </c>
      <c r="AE496" t="s">
        <v>1</v>
      </c>
      <c r="AF496" t="s">
        <v>1</v>
      </c>
      <c r="AG496" t="s">
        <v>1</v>
      </c>
      <c r="AH496" t="s">
        <v>1</v>
      </c>
      <c r="AI496" t="s">
        <v>1</v>
      </c>
      <c r="AJ496" t="s">
        <v>1</v>
      </c>
      <c r="AK496" t="s">
        <v>1</v>
      </c>
      <c r="AL496" t="s">
        <v>1</v>
      </c>
      <c r="AM496" t="s">
        <v>1</v>
      </c>
      <c r="AN496">
        <v>464</v>
      </c>
      <c r="AO496">
        <f t="shared" si="59"/>
        <v>464</v>
      </c>
      <c r="AP496">
        <f t="shared" si="62"/>
        <v>77</v>
      </c>
      <c r="AQ496">
        <f t="shared" si="63"/>
        <v>77</v>
      </c>
      <c r="AR496" s="26" t="s">
        <v>1355</v>
      </c>
      <c r="AS496" s="26" t="s">
        <v>1356</v>
      </c>
      <c r="AT496" t="s">
        <v>713</v>
      </c>
      <c r="AU496" t="s">
        <v>1</v>
      </c>
      <c r="AV496" t="s">
        <v>1</v>
      </c>
      <c r="AW496">
        <v>45.75</v>
      </c>
      <c r="AX496">
        <v>-95.12</v>
      </c>
      <c r="AY496" t="s">
        <v>737</v>
      </c>
      <c r="BA496" s="3">
        <v>3</v>
      </c>
      <c r="BB496" s="3"/>
      <c r="BC496" s="3"/>
      <c r="BD496" s="3"/>
      <c r="BE496" s="3"/>
      <c r="BF496">
        <v>1982</v>
      </c>
      <c r="BG496" s="24" t="s">
        <v>733</v>
      </c>
      <c r="BH496" s="24" t="s">
        <v>733</v>
      </c>
      <c r="BI496" s="24" t="s">
        <v>733</v>
      </c>
      <c r="BJ496" s="24" t="s">
        <v>732</v>
      </c>
      <c r="BK496" s="24" t="s">
        <v>733</v>
      </c>
      <c r="BL496" s="25" t="s">
        <v>733</v>
      </c>
      <c r="BM496" s="24" t="s">
        <v>733</v>
      </c>
      <c r="BN496" s="24" t="s">
        <v>732</v>
      </c>
      <c r="BO496" s="24" t="s">
        <v>733</v>
      </c>
      <c r="BP496" s="24" t="s">
        <v>733</v>
      </c>
      <c r="BQ496" s="24" t="s">
        <v>945</v>
      </c>
      <c r="BR496" s="24" t="s">
        <v>945</v>
      </c>
      <c r="BS496" s="25" t="s">
        <v>934</v>
      </c>
      <c r="BT496" s="24" t="s">
        <v>934</v>
      </c>
      <c r="BU496" s="24" t="s">
        <v>934</v>
      </c>
      <c r="BV496" s="24" t="s">
        <v>934</v>
      </c>
      <c r="BW496" s="24" t="s">
        <v>934</v>
      </c>
      <c r="BX496" s="24" t="s">
        <v>934</v>
      </c>
      <c r="BY496" s="25" t="s">
        <v>945</v>
      </c>
      <c r="BZ496" t="s">
        <v>5</v>
      </c>
      <c r="CB496" t="s">
        <v>1</v>
      </c>
      <c r="CC496" s="4">
        <v>7800</v>
      </c>
      <c r="CD496" s="4"/>
      <c r="CE496" s="4"/>
      <c r="CF496" t="s">
        <v>793</v>
      </c>
      <c r="CG496">
        <v>100</v>
      </c>
      <c r="CH496" t="s">
        <v>805</v>
      </c>
      <c r="CI496" s="28">
        <v>1</v>
      </c>
      <c r="CJ496" s="10" t="s">
        <v>1442</v>
      </c>
      <c r="CK496" t="s">
        <v>807</v>
      </c>
      <c r="CL496" s="4">
        <v>7066.6666666666661</v>
      </c>
      <c r="CM496" t="s">
        <v>847</v>
      </c>
      <c r="CN496" s="4">
        <f>AVERAGE(102+47,100+45,79+40)</f>
        <v>137.66666666666666</v>
      </c>
      <c r="CO496" s="4" t="s">
        <v>1</v>
      </c>
      <c r="CP496" s="4" t="s">
        <v>1</v>
      </c>
      <c r="CQ496" s="4" t="s">
        <v>1</v>
      </c>
      <c r="CR496" s="4" t="s">
        <v>1</v>
      </c>
      <c r="CS496" s="4" t="s">
        <v>1</v>
      </c>
      <c r="CT496" s="4" t="s">
        <v>1</v>
      </c>
      <c r="CU496" s="4" t="s">
        <v>1</v>
      </c>
      <c r="CV496" t="s">
        <v>855</v>
      </c>
      <c r="CW496">
        <v>100</v>
      </c>
      <c r="CX496">
        <v>0</v>
      </c>
      <c r="CY496">
        <v>30</v>
      </c>
      <c r="CZ496" s="26" t="s">
        <v>1358</v>
      </c>
      <c r="DA496" t="s">
        <v>734</v>
      </c>
      <c r="DB496">
        <v>63.4</v>
      </c>
      <c r="DC496">
        <v>0</v>
      </c>
      <c r="DD496">
        <v>30</v>
      </c>
      <c r="DE496" s="26" t="s">
        <v>1358</v>
      </c>
      <c r="DF496" t="s">
        <v>735</v>
      </c>
      <c r="DG496">
        <v>20.3</v>
      </c>
      <c r="DH496">
        <v>0</v>
      </c>
      <c r="DI496">
        <v>30</v>
      </c>
      <c r="DJ496" s="26" t="s">
        <v>1358</v>
      </c>
      <c r="DK496" t="s">
        <v>736</v>
      </c>
      <c r="DL496">
        <v>16.2</v>
      </c>
      <c r="DM496">
        <v>0</v>
      </c>
      <c r="DN496">
        <v>30</v>
      </c>
      <c r="DO496" s="26" t="s">
        <v>1358</v>
      </c>
      <c r="DP496" t="s">
        <v>6</v>
      </c>
      <c r="DQ496" t="s">
        <v>1</v>
      </c>
      <c r="DR496">
        <v>5.8</v>
      </c>
      <c r="DS496">
        <v>0</v>
      </c>
      <c r="DT496">
        <v>30</v>
      </c>
      <c r="DU496" s="26" t="s">
        <v>1358</v>
      </c>
      <c r="EA496" t="s">
        <v>982</v>
      </c>
      <c r="EB496">
        <v>17.100000000000001</v>
      </c>
      <c r="EC496">
        <v>0</v>
      </c>
      <c r="ED496">
        <v>30</v>
      </c>
      <c r="EE496" s="26" t="s">
        <v>1358</v>
      </c>
      <c r="EF496" s="26"/>
      <c r="FZ496" t="s">
        <v>806</v>
      </c>
      <c r="GA496">
        <v>662</v>
      </c>
      <c r="GE496" s="26" t="s">
        <v>1358</v>
      </c>
      <c r="HA496" s="5" t="s">
        <v>1069</v>
      </c>
      <c r="HB496" s="4">
        <v>13.5</v>
      </c>
      <c r="HC496">
        <v>0</v>
      </c>
      <c r="HD496">
        <v>30</v>
      </c>
      <c r="HE496" s="26" t="s">
        <v>1358</v>
      </c>
      <c r="HF496" s="5" t="s">
        <v>1063</v>
      </c>
      <c r="HG496" s="4">
        <v>2.15</v>
      </c>
      <c r="HH496">
        <v>0</v>
      </c>
      <c r="HI496">
        <v>30</v>
      </c>
      <c r="HJ496" s="26" t="s">
        <v>1358</v>
      </c>
      <c r="HK496" t="s">
        <v>815</v>
      </c>
      <c r="HL496">
        <v>1.38</v>
      </c>
      <c r="HM496">
        <v>0</v>
      </c>
      <c r="HN496">
        <v>30</v>
      </c>
      <c r="HO496" t="s">
        <v>1456</v>
      </c>
      <c r="HP496" s="26" t="s">
        <v>1358</v>
      </c>
      <c r="HZ496" t="s">
        <v>969</v>
      </c>
      <c r="IA496">
        <v>90</v>
      </c>
      <c r="IB496" s="10" t="s">
        <v>1</v>
      </c>
      <c r="IC496" s="10"/>
      <c r="ID496" s="10"/>
      <c r="IE496" s="10" t="s">
        <v>843</v>
      </c>
      <c r="IF496" s="10" t="b">
        <v>1</v>
      </c>
      <c r="IG496" s="10"/>
      <c r="IH496" s="10"/>
      <c r="II496" s="10"/>
      <c r="IJ496" s="10"/>
      <c r="IK496" s="10"/>
      <c r="IL496" s="10"/>
      <c r="IM496" s="10"/>
      <c r="IN496" s="10"/>
      <c r="IO496" s="10"/>
      <c r="IP496" s="10"/>
      <c r="IQ496" s="10"/>
      <c r="IR496" s="10"/>
      <c r="IS496" t="s">
        <v>1</v>
      </c>
      <c r="IT496" t="s">
        <v>1</v>
      </c>
      <c r="IW496" t="s">
        <v>1</v>
      </c>
      <c r="IX496" t="s">
        <v>1</v>
      </c>
      <c r="IY496" t="s">
        <v>808</v>
      </c>
      <c r="IZ496">
        <v>1200</v>
      </c>
      <c r="JA496" t="s">
        <v>1</v>
      </c>
      <c r="JB496" s="3" t="s">
        <v>1</v>
      </c>
      <c r="JC496" t="s">
        <v>1</v>
      </c>
      <c r="JD496" s="4" t="s">
        <v>1</v>
      </c>
      <c r="JE496" t="s">
        <v>1</v>
      </c>
      <c r="JF496" t="s">
        <v>1</v>
      </c>
      <c r="JR496" t="s">
        <v>1066</v>
      </c>
      <c r="JS496">
        <v>130.4</v>
      </c>
      <c r="JU496" t="s">
        <v>1</v>
      </c>
      <c r="JW496" t="s">
        <v>1</v>
      </c>
      <c r="JX496">
        <v>0</v>
      </c>
      <c r="JY496">
        <v>122</v>
      </c>
      <c r="JZ496" t="s">
        <v>796</v>
      </c>
      <c r="KA496" t="s">
        <v>567</v>
      </c>
      <c r="KB496" t="s">
        <v>738</v>
      </c>
      <c r="KC496" t="s">
        <v>1</v>
      </c>
      <c r="KD496" t="s">
        <v>1</v>
      </c>
      <c r="KE496" t="s">
        <v>1</v>
      </c>
      <c r="KF496" t="s">
        <v>1</v>
      </c>
      <c r="KG496" t="s">
        <v>1</v>
      </c>
      <c r="KH496" t="s">
        <v>1</v>
      </c>
      <c r="KI496" t="s">
        <v>1</v>
      </c>
      <c r="KJ496" t="s">
        <v>1</v>
      </c>
      <c r="KK496" t="s">
        <v>1</v>
      </c>
    </row>
    <row r="497" spans="1:297" x14ac:dyDescent="0.2">
      <c r="A497">
        <v>465</v>
      </c>
      <c r="B497" t="s">
        <v>705</v>
      </c>
      <c r="C497" t="s">
        <v>570</v>
      </c>
      <c r="D497" t="s">
        <v>565</v>
      </c>
      <c r="E497">
        <v>77</v>
      </c>
      <c r="F497" t="s">
        <v>783</v>
      </c>
      <c r="G497" t="s">
        <v>1</v>
      </c>
      <c r="H497" s="26" t="s">
        <v>1420</v>
      </c>
      <c r="I497" t="s">
        <v>1</v>
      </c>
      <c r="J497" t="s">
        <v>1</v>
      </c>
      <c r="K497" t="s">
        <v>1</v>
      </c>
      <c r="L497" t="s">
        <v>1</v>
      </c>
      <c r="M497" t="s">
        <v>1</v>
      </c>
      <c r="N497" t="s">
        <v>1</v>
      </c>
      <c r="O497" t="s">
        <v>1</v>
      </c>
      <c r="P497" t="s">
        <v>1</v>
      </c>
      <c r="Q497" t="s">
        <v>1</v>
      </c>
      <c r="R497" t="s">
        <v>1</v>
      </c>
      <c r="S497" t="s">
        <v>1</v>
      </c>
      <c r="T497" t="s">
        <v>1</v>
      </c>
      <c r="U497" t="s">
        <v>1</v>
      </c>
      <c r="V497" t="s">
        <v>1</v>
      </c>
      <c r="W497" t="s">
        <v>1</v>
      </c>
      <c r="X497" t="s">
        <v>1</v>
      </c>
      <c r="Y497" t="s">
        <v>1</v>
      </c>
      <c r="Z497" t="s">
        <v>1</v>
      </c>
      <c r="AA497" t="s">
        <v>1</v>
      </c>
      <c r="AB497" t="s">
        <v>1</v>
      </c>
      <c r="AC497" t="s">
        <v>1</v>
      </c>
      <c r="AD497" t="s">
        <v>1</v>
      </c>
      <c r="AE497" t="s">
        <v>1</v>
      </c>
      <c r="AF497" t="s">
        <v>1</v>
      </c>
      <c r="AG497" t="s">
        <v>1</v>
      </c>
      <c r="AH497" t="s">
        <v>1</v>
      </c>
      <c r="AI497" t="s">
        <v>1</v>
      </c>
      <c r="AJ497" t="s">
        <v>1</v>
      </c>
      <c r="AK497" t="s">
        <v>1</v>
      </c>
      <c r="AL497" t="s">
        <v>1</v>
      </c>
      <c r="AM497" t="s">
        <v>1</v>
      </c>
      <c r="AN497">
        <v>465</v>
      </c>
      <c r="AO497">
        <f t="shared" si="59"/>
        <v>465</v>
      </c>
      <c r="AP497">
        <f t="shared" si="62"/>
        <v>77</v>
      </c>
      <c r="AQ497">
        <f t="shared" si="63"/>
        <v>77</v>
      </c>
      <c r="AR497" s="26" t="s">
        <v>1355</v>
      </c>
      <c r="AS497" s="26" t="s">
        <v>1356</v>
      </c>
      <c r="AT497" t="s">
        <v>713</v>
      </c>
      <c r="AU497" t="s">
        <v>1</v>
      </c>
      <c r="AV497" t="s">
        <v>1</v>
      </c>
      <c r="AW497">
        <v>45.75</v>
      </c>
      <c r="AX497">
        <v>-95.12</v>
      </c>
      <c r="AY497" t="s">
        <v>737</v>
      </c>
      <c r="BA497" s="3">
        <v>3</v>
      </c>
      <c r="BB497" s="3"/>
      <c r="BC497" s="3"/>
      <c r="BD497" s="3"/>
      <c r="BE497" s="3"/>
      <c r="BF497">
        <v>1982</v>
      </c>
      <c r="BG497" s="24" t="s">
        <v>733</v>
      </c>
      <c r="BH497" s="24" t="s">
        <v>733</v>
      </c>
      <c r="BI497" s="24" t="s">
        <v>733</v>
      </c>
      <c r="BJ497" s="24" t="s">
        <v>732</v>
      </c>
      <c r="BK497" s="24" t="s">
        <v>733</v>
      </c>
      <c r="BL497" s="25" t="s">
        <v>733</v>
      </c>
      <c r="BM497" s="24" t="s">
        <v>733</v>
      </c>
      <c r="BN497" s="24" t="s">
        <v>732</v>
      </c>
      <c r="BO497" s="24" t="s">
        <v>733</v>
      </c>
      <c r="BP497" s="24" t="s">
        <v>733</v>
      </c>
      <c r="BQ497" s="24" t="s">
        <v>945</v>
      </c>
      <c r="BR497" s="24" t="s">
        <v>945</v>
      </c>
      <c r="BS497" s="25" t="s">
        <v>934</v>
      </c>
      <c r="BT497" s="24" t="s">
        <v>934</v>
      </c>
      <c r="BU497" s="24" t="s">
        <v>934</v>
      </c>
      <c r="BV497" s="24" t="s">
        <v>934</v>
      </c>
      <c r="BW497" s="24" t="s">
        <v>934</v>
      </c>
      <c r="BX497" s="24" t="s">
        <v>934</v>
      </c>
      <c r="BY497" s="25" t="s">
        <v>945</v>
      </c>
      <c r="BZ497" t="s">
        <v>5</v>
      </c>
      <c r="CB497" t="s">
        <v>1</v>
      </c>
      <c r="CC497" s="4">
        <v>7410</v>
      </c>
      <c r="CD497" s="4"/>
      <c r="CE497" s="4"/>
      <c r="CF497" t="s">
        <v>793</v>
      </c>
      <c r="CG497">
        <v>100</v>
      </c>
      <c r="CH497" t="s">
        <v>805</v>
      </c>
      <c r="CI497" s="28">
        <v>1</v>
      </c>
      <c r="CJ497" s="10" t="s">
        <v>1442</v>
      </c>
      <c r="CK497" t="s">
        <v>807</v>
      </c>
      <c r="CL497" s="4">
        <v>6590</v>
      </c>
      <c r="CM497" t="s">
        <v>847</v>
      </c>
      <c r="CN497" s="4">
        <f>AVERAGE(103+45,96+39,70+35)</f>
        <v>129.33333333333334</v>
      </c>
      <c r="CO497" s="4" t="s">
        <v>1</v>
      </c>
      <c r="CP497" s="4" t="s">
        <v>1</v>
      </c>
      <c r="CQ497" s="4" t="s">
        <v>1</v>
      </c>
      <c r="CR497" s="4" t="s">
        <v>1</v>
      </c>
      <c r="CS497" s="4" t="s">
        <v>1</v>
      </c>
      <c r="CT497" s="4" t="s">
        <v>1</v>
      </c>
      <c r="CU497" s="4" t="s">
        <v>1</v>
      </c>
      <c r="CV497" t="s">
        <v>855</v>
      </c>
      <c r="CW497">
        <v>100</v>
      </c>
      <c r="CX497">
        <v>0</v>
      </c>
      <c r="CY497">
        <v>30</v>
      </c>
      <c r="CZ497" s="26" t="s">
        <v>1358</v>
      </c>
      <c r="DA497" t="s">
        <v>734</v>
      </c>
      <c r="DB497">
        <v>63.4</v>
      </c>
      <c r="DC497">
        <v>0</v>
      </c>
      <c r="DD497">
        <v>30</v>
      </c>
      <c r="DE497" s="26" t="s">
        <v>1358</v>
      </c>
      <c r="DF497" t="s">
        <v>735</v>
      </c>
      <c r="DG497">
        <v>20.3</v>
      </c>
      <c r="DH497">
        <v>0</v>
      </c>
      <c r="DI497">
        <v>30</v>
      </c>
      <c r="DJ497" s="26" t="s">
        <v>1358</v>
      </c>
      <c r="DK497" t="s">
        <v>736</v>
      </c>
      <c r="DL497">
        <v>16.2</v>
      </c>
      <c r="DM497">
        <v>0</v>
      </c>
      <c r="DN497">
        <v>30</v>
      </c>
      <c r="DO497" s="26" t="s">
        <v>1358</v>
      </c>
      <c r="DP497" t="s">
        <v>6</v>
      </c>
      <c r="DQ497" t="s">
        <v>1</v>
      </c>
      <c r="DR497">
        <v>5.8</v>
      </c>
      <c r="DS497">
        <v>0</v>
      </c>
      <c r="DT497">
        <v>30</v>
      </c>
      <c r="DU497" s="26" t="s">
        <v>1358</v>
      </c>
      <c r="EA497" t="s">
        <v>982</v>
      </c>
      <c r="EB497">
        <v>17.100000000000001</v>
      </c>
      <c r="EC497">
        <v>0</v>
      </c>
      <c r="ED497">
        <v>30</v>
      </c>
      <c r="EE497" s="26" t="s">
        <v>1358</v>
      </c>
      <c r="EF497" s="26"/>
      <c r="FZ497" t="s">
        <v>806</v>
      </c>
      <c r="GA497">
        <v>662</v>
      </c>
      <c r="GE497" s="26" t="s">
        <v>1358</v>
      </c>
      <c r="HA497" s="5" t="s">
        <v>1069</v>
      </c>
      <c r="HB497" s="4">
        <v>13.5</v>
      </c>
      <c r="HC497">
        <v>0</v>
      </c>
      <c r="HD497">
        <v>30</v>
      </c>
      <c r="HE497" s="26" t="s">
        <v>1358</v>
      </c>
      <c r="HF497" s="5" t="s">
        <v>1063</v>
      </c>
      <c r="HG497" s="4">
        <v>2.15</v>
      </c>
      <c r="HH497">
        <v>0</v>
      </c>
      <c r="HI497">
        <v>30</v>
      </c>
      <c r="HJ497" s="26" t="s">
        <v>1358</v>
      </c>
      <c r="HK497" t="s">
        <v>815</v>
      </c>
      <c r="HL497">
        <v>1.38</v>
      </c>
      <c r="HM497">
        <v>0</v>
      </c>
      <c r="HN497">
        <v>30</v>
      </c>
      <c r="HO497" t="s">
        <v>1456</v>
      </c>
      <c r="HP497" s="26" t="s">
        <v>1358</v>
      </c>
      <c r="HZ497" t="s">
        <v>969</v>
      </c>
      <c r="IA497">
        <v>90</v>
      </c>
      <c r="IB497" s="10" t="s">
        <v>1</v>
      </c>
      <c r="IC497" s="10"/>
      <c r="ID497" s="10"/>
      <c r="IE497" s="10" t="s">
        <v>1</v>
      </c>
      <c r="IF497" s="10" t="s">
        <v>1</v>
      </c>
      <c r="IG497" s="10"/>
      <c r="IH497" s="10"/>
      <c r="II497" s="10"/>
      <c r="IJ497" s="10"/>
      <c r="IK497" s="10"/>
      <c r="IL497" s="10"/>
      <c r="IM497" s="10"/>
      <c r="IN497" s="10"/>
      <c r="IO497" s="10"/>
      <c r="IP497" s="10"/>
      <c r="IQ497" s="10"/>
      <c r="IR497" s="10"/>
      <c r="IS497" t="s">
        <v>1</v>
      </c>
      <c r="IT497" t="s">
        <v>1</v>
      </c>
      <c r="IW497" t="s">
        <v>1</v>
      </c>
      <c r="IX497" t="s">
        <v>1</v>
      </c>
      <c r="IY497" t="s">
        <v>808</v>
      </c>
      <c r="IZ497">
        <v>1200</v>
      </c>
      <c r="JA497" t="s">
        <v>1</v>
      </c>
      <c r="JB497" s="3" t="s">
        <v>1</v>
      </c>
      <c r="JC497" t="s">
        <v>1</v>
      </c>
      <c r="JD497" s="4" t="s">
        <v>1</v>
      </c>
      <c r="JE497" t="s">
        <v>1</v>
      </c>
      <c r="JF497" t="s">
        <v>1</v>
      </c>
      <c r="JR497" t="s">
        <v>1066</v>
      </c>
      <c r="JS497">
        <v>129.80000000000001</v>
      </c>
      <c r="JU497" t="s">
        <v>1</v>
      </c>
      <c r="JW497" t="s">
        <v>1</v>
      </c>
      <c r="JX497">
        <v>0</v>
      </c>
      <c r="JY497">
        <v>122</v>
      </c>
      <c r="JZ497" t="s">
        <v>796</v>
      </c>
      <c r="KA497" t="s">
        <v>567</v>
      </c>
      <c r="KB497" t="s">
        <v>738</v>
      </c>
      <c r="KC497" t="s">
        <v>1</v>
      </c>
      <c r="KD497" t="s">
        <v>1</v>
      </c>
      <c r="KE497" t="s">
        <v>1</v>
      </c>
      <c r="KF497" t="s">
        <v>1</v>
      </c>
      <c r="KG497" t="s">
        <v>1</v>
      </c>
      <c r="KH497" t="s">
        <v>1</v>
      </c>
      <c r="KI497" t="s">
        <v>1</v>
      </c>
      <c r="KJ497" t="s">
        <v>1</v>
      </c>
      <c r="KK497" t="s">
        <v>1</v>
      </c>
    </row>
    <row r="498" spans="1:297" x14ac:dyDescent="0.2">
      <c r="A498">
        <v>466</v>
      </c>
      <c r="B498" t="s">
        <v>705</v>
      </c>
      <c r="C498" t="s">
        <v>571</v>
      </c>
      <c r="D498" t="s">
        <v>565</v>
      </c>
      <c r="E498">
        <v>77</v>
      </c>
      <c r="F498" t="s">
        <v>783</v>
      </c>
      <c r="G498" t="s">
        <v>1</v>
      </c>
      <c r="H498" s="26" t="s">
        <v>1420</v>
      </c>
      <c r="I498" t="s">
        <v>1</v>
      </c>
      <c r="J498" t="s">
        <v>1</v>
      </c>
      <c r="K498" t="s">
        <v>1</v>
      </c>
      <c r="L498" t="s">
        <v>1</v>
      </c>
      <c r="M498" t="s">
        <v>1</v>
      </c>
      <c r="N498" t="s">
        <v>1</v>
      </c>
      <c r="O498" t="s">
        <v>1</v>
      </c>
      <c r="P498" t="s">
        <v>1</v>
      </c>
      <c r="Q498" t="s">
        <v>1</v>
      </c>
      <c r="R498" t="s">
        <v>1</v>
      </c>
      <c r="S498" t="s">
        <v>1</v>
      </c>
      <c r="T498" t="s">
        <v>1</v>
      </c>
      <c r="U498" t="s">
        <v>1</v>
      </c>
      <c r="V498" t="s">
        <v>1</v>
      </c>
      <c r="W498" t="s">
        <v>1</v>
      </c>
      <c r="X498" t="s">
        <v>1</v>
      </c>
      <c r="Y498" t="s">
        <v>1</v>
      </c>
      <c r="Z498" t="s">
        <v>1</v>
      </c>
      <c r="AA498" t="s">
        <v>1</v>
      </c>
      <c r="AB498" t="s">
        <v>1</v>
      </c>
      <c r="AC498" t="s">
        <v>1</v>
      </c>
      <c r="AD498" t="s">
        <v>1</v>
      </c>
      <c r="AE498" t="s">
        <v>1</v>
      </c>
      <c r="AF498" t="s">
        <v>1</v>
      </c>
      <c r="AG498" t="s">
        <v>1</v>
      </c>
      <c r="AH498" t="s">
        <v>1</v>
      </c>
      <c r="AI498" t="s">
        <v>1</v>
      </c>
      <c r="AJ498" t="s">
        <v>1</v>
      </c>
      <c r="AK498" t="s">
        <v>1</v>
      </c>
      <c r="AL498" t="s">
        <v>1</v>
      </c>
      <c r="AM498" t="s">
        <v>1</v>
      </c>
      <c r="AN498">
        <v>466</v>
      </c>
      <c r="AO498">
        <f t="shared" si="59"/>
        <v>466</v>
      </c>
      <c r="AP498">
        <f t="shared" si="62"/>
        <v>77</v>
      </c>
      <c r="AQ498">
        <f t="shared" si="63"/>
        <v>77</v>
      </c>
      <c r="AR498" s="26" t="s">
        <v>1355</v>
      </c>
      <c r="AS498" s="26" t="s">
        <v>1356</v>
      </c>
      <c r="AT498" t="s">
        <v>713</v>
      </c>
      <c r="AU498" t="s">
        <v>1</v>
      </c>
      <c r="AV498" t="s">
        <v>1</v>
      </c>
      <c r="AW498">
        <v>45.75</v>
      </c>
      <c r="AX498">
        <v>-95.12</v>
      </c>
      <c r="AY498" t="s">
        <v>737</v>
      </c>
      <c r="BA498" s="3">
        <v>3</v>
      </c>
      <c r="BB498" s="3"/>
      <c r="BC498" s="3"/>
      <c r="BD498" s="3"/>
      <c r="BE498" s="3"/>
      <c r="BF498">
        <v>1982</v>
      </c>
      <c r="BG498" s="24" t="s">
        <v>733</v>
      </c>
      <c r="BH498" s="24" t="s">
        <v>733</v>
      </c>
      <c r="BI498" s="24" t="s">
        <v>733</v>
      </c>
      <c r="BJ498" s="24" t="s">
        <v>732</v>
      </c>
      <c r="BK498" s="24" t="s">
        <v>733</v>
      </c>
      <c r="BL498" s="25" t="s">
        <v>733</v>
      </c>
      <c r="BM498" s="24" t="s">
        <v>733</v>
      </c>
      <c r="BN498" s="24" t="s">
        <v>732</v>
      </c>
      <c r="BO498" s="24" t="s">
        <v>733</v>
      </c>
      <c r="BP498" s="24" t="s">
        <v>733</v>
      </c>
      <c r="BQ498" s="24" t="s">
        <v>945</v>
      </c>
      <c r="BR498" s="24" t="s">
        <v>945</v>
      </c>
      <c r="BS498" s="25" t="s">
        <v>934</v>
      </c>
      <c r="BT498" s="24" t="s">
        <v>934</v>
      </c>
      <c r="BU498" s="24" t="s">
        <v>934</v>
      </c>
      <c r="BV498" s="24" t="s">
        <v>934</v>
      </c>
      <c r="BW498" s="24" t="s">
        <v>934</v>
      </c>
      <c r="BX498" s="24" t="s">
        <v>934</v>
      </c>
      <c r="BY498" s="25" t="s">
        <v>945</v>
      </c>
      <c r="BZ498" t="s">
        <v>5</v>
      </c>
      <c r="CB498" t="s">
        <v>1</v>
      </c>
      <c r="CC498" s="4">
        <v>7783.3333333333339</v>
      </c>
      <c r="CD498" s="4"/>
      <c r="CE498" s="4"/>
      <c r="CF498" t="s">
        <v>793</v>
      </c>
      <c r="CG498">
        <v>100</v>
      </c>
      <c r="CH498" t="s">
        <v>805</v>
      </c>
      <c r="CI498" s="28">
        <v>1</v>
      </c>
      <c r="CJ498" s="10" t="s">
        <v>1442</v>
      </c>
      <c r="CK498" t="s">
        <v>807</v>
      </c>
      <c r="CL498" s="4">
        <v>6800</v>
      </c>
      <c r="CM498" t="s">
        <v>847</v>
      </c>
      <c r="CN498" s="4">
        <f>AVERAGE(104+50,102+46,79+38)</f>
        <v>139.66666666666666</v>
      </c>
      <c r="CO498" s="4" t="s">
        <v>1</v>
      </c>
      <c r="CP498" s="4" t="s">
        <v>1</v>
      </c>
      <c r="CQ498" s="4" t="s">
        <v>1</v>
      </c>
      <c r="CR498" s="4" t="s">
        <v>1</v>
      </c>
      <c r="CS498" s="4" t="s">
        <v>1</v>
      </c>
      <c r="CT498" s="4" t="s">
        <v>1</v>
      </c>
      <c r="CU498" s="4" t="s">
        <v>1</v>
      </c>
      <c r="CV498" t="s">
        <v>855</v>
      </c>
      <c r="CW498">
        <v>100</v>
      </c>
      <c r="CX498">
        <v>0</v>
      </c>
      <c r="CY498">
        <v>30</v>
      </c>
      <c r="CZ498" s="26" t="s">
        <v>1358</v>
      </c>
      <c r="DA498" t="s">
        <v>734</v>
      </c>
      <c r="DB498">
        <v>63.4</v>
      </c>
      <c r="DC498">
        <v>0</v>
      </c>
      <c r="DD498">
        <v>30</v>
      </c>
      <c r="DE498" s="26" t="s">
        <v>1358</v>
      </c>
      <c r="DF498" t="s">
        <v>735</v>
      </c>
      <c r="DG498">
        <v>20.3</v>
      </c>
      <c r="DH498">
        <v>0</v>
      </c>
      <c r="DI498">
        <v>30</v>
      </c>
      <c r="DJ498" s="26" t="s">
        <v>1358</v>
      </c>
      <c r="DK498" t="s">
        <v>736</v>
      </c>
      <c r="DL498">
        <v>16.2</v>
      </c>
      <c r="DM498">
        <v>0</v>
      </c>
      <c r="DN498">
        <v>30</v>
      </c>
      <c r="DO498" s="26" t="s">
        <v>1358</v>
      </c>
      <c r="DP498" t="s">
        <v>6</v>
      </c>
      <c r="DQ498" t="s">
        <v>1</v>
      </c>
      <c r="DR498">
        <v>5.8</v>
      </c>
      <c r="DS498">
        <v>0</v>
      </c>
      <c r="DT498">
        <v>30</v>
      </c>
      <c r="DU498" s="26" t="s">
        <v>1358</v>
      </c>
      <c r="EA498" t="s">
        <v>982</v>
      </c>
      <c r="EB498">
        <v>17.100000000000001</v>
      </c>
      <c r="EC498">
        <v>0</v>
      </c>
      <c r="ED498">
        <v>30</v>
      </c>
      <c r="EE498" s="26" t="s">
        <v>1358</v>
      </c>
      <c r="EF498" s="26"/>
      <c r="FZ498" t="s">
        <v>806</v>
      </c>
      <c r="GA498">
        <v>662</v>
      </c>
      <c r="GE498" s="26" t="s">
        <v>1358</v>
      </c>
      <c r="HA498" s="5" t="s">
        <v>1069</v>
      </c>
      <c r="HB498" s="4">
        <v>13.5</v>
      </c>
      <c r="HC498">
        <v>0</v>
      </c>
      <c r="HD498">
        <v>30</v>
      </c>
      <c r="HE498" s="26" t="s">
        <v>1358</v>
      </c>
      <c r="HF498" s="5" t="s">
        <v>1063</v>
      </c>
      <c r="HG498" s="4">
        <v>2.15</v>
      </c>
      <c r="HH498">
        <v>0</v>
      </c>
      <c r="HI498">
        <v>30</v>
      </c>
      <c r="HJ498" s="26" t="s">
        <v>1358</v>
      </c>
      <c r="HK498" t="s">
        <v>815</v>
      </c>
      <c r="HL498">
        <v>1.38</v>
      </c>
      <c r="HM498">
        <v>0</v>
      </c>
      <c r="HN498">
        <v>30</v>
      </c>
      <c r="HO498" t="s">
        <v>1456</v>
      </c>
      <c r="HP498" s="26" t="s">
        <v>1358</v>
      </c>
      <c r="HZ498" t="s">
        <v>969</v>
      </c>
      <c r="IA498">
        <v>90</v>
      </c>
      <c r="IB498" s="10" t="s">
        <v>1</v>
      </c>
      <c r="IC498" s="10"/>
      <c r="ID498" s="10"/>
      <c r="IE498" s="10" t="s">
        <v>1</v>
      </c>
      <c r="IF498" s="10" t="s">
        <v>1</v>
      </c>
      <c r="IG498" s="10"/>
      <c r="IH498" s="10"/>
      <c r="II498" s="10"/>
      <c r="IJ498" s="10"/>
      <c r="IK498" s="10"/>
      <c r="IL498" s="10"/>
      <c r="IM498" s="10"/>
      <c r="IN498" s="10"/>
      <c r="IO498" s="10"/>
      <c r="IP498" s="10"/>
      <c r="IQ498" s="10"/>
      <c r="IR498" s="10"/>
      <c r="IS498" t="s">
        <v>1</v>
      </c>
      <c r="IT498" t="s">
        <v>1</v>
      </c>
      <c r="IW498" t="s">
        <v>1</v>
      </c>
      <c r="IX498" t="s">
        <v>1</v>
      </c>
      <c r="IY498" t="s">
        <v>808</v>
      </c>
      <c r="IZ498">
        <v>1200</v>
      </c>
      <c r="JA498" t="s">
        <v>1</v>
      </c>
      <c r="JB498" s="3" t="s">
        <v>1</v>
      </c>
      <c r="JC498" t="s">
        <v>1</v>
      </c>
      <c r="JD498" s="4" t="s">
        <v>1</v>
      </c>
      <c r="JE498" t="s">
        <v>1</v>
      </c>
      <c r="JF498" t="s">
        <v>1</v>
      </c>
      <c r="JR498" t="s">
        <v>1066</v>
      </c>
      <c r="JS498">
        <v>148.69999999999999</v>
      </c>
      <c r="JU498" t="s">
        <v>1</v>
      </c>
      <c r="JW498" t="s">
        <v>1</v>
      </c>
      <c r="JX498">
        <v>0</v>
      </c>
      <c r="JY498">
        <v>122</v>
      </c>
      <c r="JZ498" t="s">
        <v>796</v>
      </c>
      <c r="KA498" t="s">
        <v>567</v>
      </c>
      <c r="KB498" t="s">
        <v>738</v>
      </c>
      <c r="KC498" t="s">
        <v>1</v>
      </c>
      <c r="KD498" t="s">
        <v>1</v>
      </c>
      <c r="KE498" t="s">
        <v>1</v>
      </c>
      <c r="KF498" t="s">
        <v>1</v>
      </c>
      <c r="KG498" t="s">
        <v>1</v>
      </c>
      <c r="KH498" t="s">
        <v>1</v>
      </c>
      <c r="KI498" t="s">
        <v>1</v>
      </c>
      <c r="KJ498" t="s">
        <v>1</v>
      </c>
      <c r="KK498" t="s">
        <v>1</v>
      </c>
    </row>
    <row r="499" spans="1:297" x14ac:dyDescent="0.2">
      <c r="A499">
        <v>467</v>
      </c>
      <c r="B499" t="s">
        <v>705</v>
      </c>
      <c r="C499" t="s">
        <v>572</v>
      </c>
      <c r="D499" t="s">
        <v>565</v>
      </c>
      <c r="E499">
        <v>77</v>
      </c>
      <c r="F499" t="s">
        <v>783</v>
      </c>
      <c r="G499" t="s">
        <v>1</v>
      </c>
      <c r="H499" s="26" t="s">
        <v>1420</v>
      </c>
      <c r="I499" t="s">
        <v>1</v>
      </c>
      <c r="J499" t="s">
        <v>1</v>
      </c>
      <c r="K499" t="s">
        <v>1</v>
      </c>
      <c r="L499" t="s">
        <v>1</v>
      </c>
      <c r="M499" t="s">
        <v>1</v>
      </c>
      <c r="N499" t="s">
        <v>1</v>
      </c>
      <c r="O499" t="s">
        <v>1</v>
      </c>
      <c r="P499" t="s">
        <v>1</v>
      </c>
      <c r="Q499" t="s">
        <v>1</v>
      </c>
      <c r="R499" t="s">
        <v>1</v>
      </c>
      <c r="S499" t="s">
        <v>1</v>
      </c>
      <c r="T499" t="s">
        <v>1</v>
      </c>
      <c r="U499" t="s">
        <v>1</v>
      </c>
      <c r="V499" t="s">
        <v>1</v>
      </c>
      <c r="W499" t="s">
        <v>1</v>
      </c>
      <c r="X499" t="s">
        <v>1</v>
      </c>
      <c r="Y499" t="s">
        <v>1</v>
      </c>
      <c r="Z499" t="s">
        <v>1</v>
      </c>
      <c r="AA499" t="s">
        <v>1</v>
      </c>
      <c r="AB499" t="s">
        <v>1</v>
      </c>
      <c r="AC499" t="s">
        <v>1</v>
      </c>
      <c r="AD499" t="s">
        <v>1</v>
      </c>
      <c r="AE499" t="s">
        <v>1</v>
      </c>
      <c r="AF499" t="s">
        <v>1</v>
      </c>
      <c r="AG499" t="s">
        <v>1</v>
      </c>
      <c r="AH499" t="s">
        <v>1</v>
      </c>
      <c r="AI499" t="s">
        <v>1</v>
      </c>
      <c r="AJ499" t="s">
        <v>1</v>
      </c>
      <c r="AK499" t="s">
        <v>1</v>
      </c>
      <c r="AL499" t="s">
        <v>1</v>
      </c>
      <c r="AM499" t="s">
        <v>1</v>
      </c>
      <c r="AN499">
        <v>467</v>
      </c>
      <c r="AO499">
        <f t="shared" si="59"/>
        <v>467</v>
      </c>
      <c r="AP499">
        <f t="shared" si="62"/>
        <v>77</v>
      </c>
      <c r="AQ499">
        <f t="shared" si="63"/>
        <v>77</v>
      </c>
      <c r="AR499" s="26" t="s">
        <v>1355</v>
      </c>
      <c r="AS499" s="26" t="s">
        <v>1356</v>
      </c>
      <c r="AT499" t="s">
        <v>713</v>
      </c>
      <c r="AU499" t="s">
        <v>1</v>
      </c>
      <c r="AV499" t="s">
        <v>1</v>
      </c>
      <c r="AW499">
        <v>45.75</v>
      </c>
      <c r="AX499">
        <v>-95.12</v>
      </c>
      <c r="AY499" t="s">
        <v>737</v>
      </c>
      <c r="BA499" s="3">
        <v>3</v>
      </c>
      <c r="BB499" s="3"/>
      <c r="BC499" s="3"/>
      <c r="BD499" s="3"/>
      <c r="BE499" s="3"/>
      <c r="BF499">
        <v>1982</v>
      </c>
      <c r="BG499" s="24" t="s">
        <v>733</v>
      </c>
      <c r="BH499" s="24" t="s">
        <v>733</v>
      </c>
      <c r="BI499" s="24" t="s">
        <v>733</v>
      </c>
      <c r="BJ499" s="24" t="s">
        <v>732</v>
      </c>
      <c r="BK499" s="24" t="s">
        <v>733</v>
      </c>
      <c r="BL499" s="25" t="s">
        <v>733</v>
      </c>
      <c r="BM499" s="24" t="s">
        <v>733</v>
      </c>
      <c r="BN499" s="24" t="s">
        <v>732</v>
      </c>
      <c r="BO499" s="24" t="s">
        <v>733</v>
      </c>
      <c r="BP499" s="24" t="s">
        <v>733</v>
      </c>
      <c r="BQ499" s="24" t="s">
        <v>945</v>
      </c>
      <c r="BR499" s="24" t="s">
        <v>945</v>
      </c>
      <c r="BS499" s="25" t="s">
        <v>934</v>
      </c>
      <c r="BT499" s="24" t="s">
        <v>934</v>
      </c>
      <c r="BU499" s="24" t="s">
        <v>934</v>
      </c>
      <c r="BV499" s="24" t="s">
        <v>934</v>
      </c>
      <c r="BW499" s="24" t="s">
        <v>934</v>
      </c>
      <c r="BX499" s="24" t="s">
        <v>934</v>
      </c>
      <c r="BY499" s="25" t="s">
        <v>945</v>
      </c>
      <c r="BZ499" t="s">
        <v>5</v>
      </c>
      <c r="CB499" t="s">
        <v>1</v>
      </c>
      <c r="CC499" s="4">
        <v>8653.3333333333321</v>
      </c>
      <c r="CD499" s="4"/>
      <c r="CE499" s="4"/>
      <c r="CF499" t="s">
        <v>793</v>
      </c>
      <c r="CG499">
        <v>100</v>
      </c>
      <c r="CH499" t="s">
        <v>805</v>
      </c>
      <c r="CI499" s="28">
        <v>1</v>
      </c>
      <c r="CJ499" s="10" t="s">
        <v>1442</v>
      </c>
      <c r="CK499" t="s">
        <v>807</v>
      </c>
      <c r="CL499" s="4">
        <v>7216.6666666666661</v>
      </c>
      <c r="CM499" t="s">
        <v>847</v>
      </c>
      <c r="CN499" s="4">
        <f>AVERAGE(116+51,114+53,116+58)</f>
        <v>169.33333333333334</v>
      </c>
      <c r="CO499" s="4" t="s">
        <v>1</v>
      </c>
      <c r="CP499" s="4" t="s">
        <v>1</v>
      </c>
      <c r="CQ499" s="4" t="s">
        <v>1</v>
      </c>
      <c r="CR499" s="4" t="s">
        <v>1</v>
      </c>
      <c r="CS499" s="4" t="s">
        <v>1</v>
      </c>
      <c r="CT499" s="4" t="s">
        <v>1</v>
      </c>
      <c r="CU499" s="4" t="s">
        <v>1</v>
      </c>
      <c r="CV499" t="s">
        <v>855</v>
      </c>
      <c r="CW499">
        <v>100</v>
      </c>
      <c r="CX499">
        <v>0</v>
      </c>
      <c r="CY499">
        <v>30</v>
      </c>
      <c r="CZ499" s="26" t="s">
        <v>1358</v>
      </c>
      <c r="DA499" t="s">
        <v>734</v>
      </c>
      <c r="DB499">
        <v>63.4</v>
      </c>
      <c r="DC499">
        <v>0</v>
      </c>
      <c r="DD499">
        <v>30</v>
      </c>
      <c r="DE499" s="26" t="s">
        <v>1358</v>
      </c>
      <c r="DF499" t="s">
        <v>735</v>
      </c>
      <c r="DG499">
        <v>20.3</v>
      </c>
      <c r="DH499">
        <v>0</v>
      </c>
      <c r="DI499">
        <v>30</v>
      </c>
      <c r="DJ499" s="26" t="s">
        <v>1358</v>
      </c>
      <c r="DK499" t="s">
        <v>736</v>
      </c>
      <c r="DL499">
        <v>16.2</v>
      </c>
      <c r="DM499">
        <v>0</v>
      </c>
      <c r="DN499">
        <v>30</v>
      </c>
      <c r="DO499" s="26" t="s">
        <v>1358</v>
      </c>
      <c r="DP499" t="s">
        <v>6</v>
      </c>
      <c r="DQ499" t="s">
        <v>1</v>
      </c>
      <c r="DR499">
        <v>5.8</v>
      </c>
      <c r="DS499">
        <v>0</v>
      </c>
      <c r="DT499">
        <v>30</v>
      </c>
      <c r="DU499" s="26" t="s">
        <v>1358</v>
      </c>
      <c r="EA499" t="s">
        <v>982</v>
      </c>
      <c r="EB499">
        <v>17.100000000000001</v>
      </c>
      <c r="EC499">
        <v>0</v>
      </c>
      <c r="ED499">
        <v>30</v>
      </c>
      <c r="EE499" s="26" t="s">
        <v>1358</v>
      </c>
      <c r="EF499" s="26"/>
      <c r="FZ499" t="s">
        <v>806</v>
      </c>
      <c r="GA499">
        <v>662</v>
      </c>
      <c r="GE499" s="26" t="s">
        <v>1358</v>
      </c>
      <c r="HA499" s="5" t="s">
        <v>1069</v>
      </c>
      <c r="HB499" s="4">
        <v>13.5</v>
      </c>
      <c r="HC499">
        <v>0</v>
      </c>
      <c r="HD499">
        <v>30</v>
      </c>
      <c r="HE499" s="26" t="s">
        <v>1358</v>
      </c>
      <c r="HF499" s="5" t="s">
        <v>1063</v>
      </c>
      <c r="HG499" s="4">
        <v>2.15</v>
      </c>
      <c r="HH499">
        <v>0</v>
      </c>
      <c r="HI499">
        <v>30</v>
      </c>
      <c r="HJ499" s="26" t="s">
        <v>1358</v>
      </c>
      <c r="HK499" t="s">
        <v>815</v>
      </c>
      <c r="HL499">
        <v>1.38</v>
      </c>
      <c r="HM499">
        <v>0</v>
      </c>
      <c r="HN499">
        <v>30</v>
      </c>
      <c r="HO499" t="s">
        <v>1456</v>
      </c>
      <c r="HP499" s="26" t="s">
        <v>1358</v>
      </c>
      <c r="HZ499" t="s">
        <v>969</v>
      </c>
      <c r="IA499">
        <v>180</v>
      </c>
      <c r="IB499" s="10" t="s">
        <v>1</v>
      </c>
      <c r="IC499" s="10"/>
      <c r="ID499" s="10"/>
      <c r="IE499" s="10" t="s">
        <v>843</v>
      </c>
      <c r="IF499" s="10" t="b">
        <v>1</v>
      </c>
      <c r="IG499" s="10"/>
      <c r="IH499" s="10"/>
      <c r="II499" s="10"/>
      <c r="IJ499" s="10"/>
      <c r="IK499" s="10"/>
      <c r="IL499" s="10"/>
      <c r="IM499" s="10"/>
      <c r="IN499" s="10"/>
      <c r="IO499" s="10"/>
      <c r="IP499" s="10"/>
      <c r="IQ499" s="10"/>
      <c r="IR499" s="10"/>
      <c r="IS499" t="s">
        <v>1</v>
      </c>
      <c r="IT499" t="s">
        <v>1</v>
      </c>
      <c r="IW499" t="s">
        <v>1</v>
      </c>
      <c r="IX499" t="s">
        <v>1</v>
      </c>
      <c r="IY499" t="s">
        <v>808</v>
      </c>
      <c r="IZ499">
        <v>1200</v>
      </c>
      <c r="JA499" t="s">
        <v>1</v>
      </c>
      <c r="JB499" s="3" t="s">
        <v>1</v>
      </c>
      <c r="JC499" t="s">
        <v>1</v>
      </c>
      <c r="JD499" s="4" t="s">
        <v>1</v>
      </c>
      <c r="JE499" t="s">
        <v>1</v>
      </c>
      <c r="JF499" t="s">
        <v>1</v>
      </c>
      <c r="JR499" t="s">
        <v>1066</v>
      </c>
      <c r="JS499">
        <v>305.7</v>
      </c>
      <c r="JU499" t="s">
        <v>1</v>
      </c>
      <c r="JW499" t="s">
        <v>1</v>
      </c>
      <c r="JX499">
        <v>0</v>
      </c>
      <c r="JY499">
        <v>122</v>
      </c>
      <c r="JZ499" t="s">
        <v>796</v>
      </c>
      <c r="KA499" t="s">
        <v>567</v>
      </c>
      <c r="KB499" t="s">
        <v>738</v>
      </c>
      <c r="KC499" t="s">
        <v>1</v>
      </c>
      <c r="KD499" t="s">
        <v>1</v>
      </c>
      <c r="KE499" t="s">
        <v>1</v>
      </c>
      <c r="KF499" t="s">
        <v>1</v>
      </c>
      <c r="KG499" t="s">
        <v>1</v>
      </c>
      <c r="KH499" t="s">
        <v>1</v>
      </c>
      <c r="KI499" t="s">
        <v>1</v>
      </c>
      <c r="KJ499" t="s">
        <v>1</v>
      </c>
      <c r="KK499" t="s">
        <v>1</v>
      </c>
    </row>
    <row r="500" spans="1:297" x14ac:dyDescent="0.2">
      <c r="A500">
        <v>468</v>
      </c>
      <c r="B500" t="s">
        <v>705</v>
      </c>
      <c r="C500" t="s">
        <v>573</v>
      </c>
      <c r="D500" t="s">
        <v>565</v>
      </c>
      <c r="E500">
        <v>77</v>
      </c>
      <c r="F500" t="s">
        <v>783</v>
      </c>
      <c r="G500" t="s">
        <v>1</v>
      </c>
      <c r="H500" s="26" t="s">
        <v>1420</v>
      </c>
      <c r="I500" t="s">
        <v>1</v>
      </c>
      <c r="J500" t="s">
        <v>1</v>
      </c>
      <c r="K500" t="s">
        <v>1</v>
      </c>
      <c r="L500" t="s">
        <v>1</v>
      </c>
      <c r="M500" t="s">
        <v>1</v>
      </c>
      <c r="N500" t="s">
        <v>1</v>
      </c>
      <c r="O500" t="s">
        <v>1</v>
      </c>
      <c r="P500" t="s">
        <v>1</v>
      </c>
      <c r="Q500" t="s">
        <v>1</v>
      </c>
      <c r="R500" t="s">
        <v>1</v>
      </c>
      <c r="S500" t="s">
        <v>1</v>
      </c>
      <c r="T500" t="s">
        <v>1</v>
      </c>
      <c r="U500" t="s">
        <v>1</v>
      </c>
      <c r="V500" t="s">
        <v>1</v>
      </c>
      <c r="W500" t="s">
        <v>1</v>
      </c>
      <c r="X500" t="s">
        <v>1</v>
      </c>
      <c r="Y500" t="s">
        <v>1</v>
      </c>
      <c r="Z500" t="s">
        <v>1</v>
      </c>
      <c r="AA500" t="s">
        <v>1</v>
      </c>
      <c r="AB500" t="s">
        <v>1</v>
      </c>
      <c r="AC500" t="s">
        <v>1</v>
      </c>
      <c r="AD500" t="s">
        <v>1</v>
      </c>
      <c r="AE500" t="s">
        <v>1</v>
      </c>
      <c r="AF500" t="s">
        <v>1</v>
      </c>
      <c r="AG500" t="s">
        <v>1</v>
      </c>
      <c r="AH500" t="s">
        <v>1</v>
      </c>
      <c r="AI500" t="s">
        <v>1</v>
      </c>
      <c r="AJ500" t="s">
        <v>1</v>
      </c>
      <c r="AK500" t="s">
        <v>1</v>
      </c>
      <c r="AL500" t="s">
        <v>1</v>
      </c>
      <c r="AM500" t="s">
        <v>1</v>
      </c>
      <c r="AN500">
        <v>468</v>
      </c>
      <c r="AO500">
        <f t="shared" si="59"/>
        <v>468</v>
      </c>
      <c r="AP500">
        <f t="shared" si="62"/>
        <v>77</v>
      </c>
      <c r="AQ500">
        <f t="shared" si="63"/>
        <v>77</v>
      </c>
      <c r="AR500" s="26" t="s">
        <v>1355</v>
      </c>
      <c r="AS500" s="26" t="s">
        <v>1356</v>
      </c>
      <c r="AT500" t="s">
        <v>713</v>
      </c>
      <c r="AU500" t="s">
        <v>1</v>
      </c>
      <c r="AV500" t="s">
        <v>1</v>
      </c>
      <c r="AW500">
        <v>45.75</v>
      </c>
      <c r="AX500">
        <v>-95.12</v>
      </c>
      <c r="AY500" t="s">
        <v>737</v>
      </c>
      <c r="BA500" s="3">
        <v>3</v>
      </c>
      <c r="BB500" s="3"/>
      <c r="BC500" s="3"/>
      <c r="BD500" s="3"/>
      <c r="BE500" s="3"/>
      <c r="BF500">
        <v>1982</v>
      </c>
      <c r="BG500" s="24" t="s">
        <v>733</v>
      </c>
      <c r="BH500" s="24" t="s">
        <v>733</v>
      </c>
      <c r="BI500" s="24" t="s">
        <v>733</v>
      </c>
      <c r="BJ500" s="24" t="s">
        <v>732</v>
      </c>
      <c r="BK500" s="24" t="s">
        <v>733</v>
      </c>
      <c r="BL500" s="25" t="s">
        <v>733</v>
      </c>
      <c r="BM500" s="24" t="s">
        <v>733</v>
      </c>
      <c r="BN500" s="24" t="s">
        <v>732</v>
      </c>
      <c r="BO500" s="24" t="s">
        <v>733</v>
      </c>
      <c r="BP500" s="24" t="s">
        <v>733</v>
      </c>
      <c r="BQ500" s="24" t="s">
        <v>945</v>
      </c>
      <c r="BR500" s="24" t="s">
        <v>945</v>
      </c>
      <c r="BS500" s="25" t="s">
        <v>934</v>
      </c>
      <c r="BT500" s="24" t="s">
        <v>934</v>
      </c>
      <c r="BU500" s="24" t="s">
        <v>934</v>
      </c>
      <c r="BV500" s="24" t="s">
        <v>934</v>
      </c>
      <c r="BW500" s="24" t="s">
        <v>934</v>
      </c>
      <c r="BX500" s="24" t="s">
        <v>934</v>
      </c>
      <c r="BY500" s="25" t="s">
        <v>945</v>
      </c>
      <c r="BZ500" t="s">
        <v>5</v>
      </c>
      <c r="CB500" t="s">
        <v>1</v>
      </c>
      <c r="CC500" s="4">
        <v>8250</v>
      </c>
      <c r="CD500" s="4"/>
      <c r="CE500" s="4"/>
      <c r="CF500" t="s">
        <v>793</v>
      </c>
      <c r="CG500">
        <v>100</v>
      </c>
      <c r="CH500" t="s">
        <v>805</v>
      </c>
      <c r="CI500" s="28">
        <v>1</v>
      </c>
      <c r="CJ500" s="10" t="s">
        <v>1442</v>
      </c>
      <c r="CK500" t="s">
        <v>807</v>
      </c>
      <c r="CL500" s="4">
        <v>6780</v>
      </c>
      <c r="CM500" t="s">
        <v>847</v>
      </c>
      <c r="CN500" s="4">
        <f>AVERAGE(113+45,110+47,106+47)</f>
        <v>156</v>
      </c>
      <c r="CO500" s="4" t="s">
        <v>1</v>
      </c>
      <c r="CP500" s="4" t="s">
        <v>1</v>
      </c>
      <c r="CQ500" s="4" t="s">
        <v>1</v>
      </c>
      <c r="CR500" s="4" t="s">
        <v>1</v>
      </c>
      <c r="CS500" s="4" t="s">
        <v>1</v>
      </c>
      <c r="CT500" s="4" t="s">
        <v>1</v>
      </c>
      <c r="CU500" s="4" t="s">
        <v>1</v>
      </c>
      <c r="CV500" t="s">
        <v>855</v>
      </c>
      <c r="CW500">
        <v>100</v>
      </c>
      <c r="CX500">
        <v>0</v>
      </c>
      <c r="CY500">
        <v>30</v>
      </c>
      <c r="CZ500" s="26" t="s">
        <v>1358</v>
      </c>
      <c r="DA500" t="s">
        <v>734</v>
      </c>
      <c r="DB500">
        <v>63.4</v>
      </c>
      <c r="DC500">
        <v>0</v>
      </c>
      <c r="DD500">
        <v>30</v>
      </c>
      <c r="DE500" s="26" t="s">
        <v>1358</v>
      </c>
      <c r="DF500" t="s">
        <v>735</v>
      </c>
      <c r="DG500">
        <v>20.3</v>
      </c>
      <c r="DH500">
        <v>0</v>
      </c>
      <c r="DI500">
        <v>30</v>
      </c>
      <c r="DJ500" s="26" t="s">
        <v>1358</v>
      </c>
      <c r="DK500" t="s">
        <v>736</v>
      </c>
      <c r="DL500">
        <v>16.2</v>
      </c>
      <c r="DM500">
        <v>0</v>
      </c>
      <c r="DN500">
        <v>30</v>
      </c>
      <c r="DO500" s="26" t="s">
        <v>1358</v>
      </c>
      <c r="DP500" t="s">
        <v>6</v>
      </c>
      <c r="DQ500" t="s">
        <v>1</v>
      </c>
      <c r="DR500">
        <v>5.8</v>
      </c>
      <c r="DS500">
        <v>0</v>
      </c>
      <c r="DT500">
        <v>30</v>
      </c>
      <c r="DU500" s="26" t="s">
        <v>1358</v>
      </c>
      <c r="EA500" t="s">
        <v>982</v>
      </c>
      <c r="EB500">
        <v>17.100000000000001</v>
      </c>
      <c r="EC500">
        <v>0</v>
      </c>
      <c r="ED500">
        <v>30</v>
      </c>
      <c r="EE500" s="26" t="s">
        <v>1358</v>
      </c>
      <c r="EF500" s="26"/>
      <c r="FZ500" t="s">
        <v>806</v>
      </c>
      <c r="GA500">
        <v>662</v>
      </c>
      <c r="GE500" s="26" t="s">
        <v>1358</v>
      </c>
      <c r="HA500" s="5" t="s">
        <v>1069</v>
      </c>
      <c r="HB500" s="4">
        <v>13.5</v>
      </c>
      <c r="HC500">
        <v>0</v>
      </c>
      <c r="HD500">
        <v>30</v>
      </c>
      <c r="HE500" s="26" t="s">
        <v>1358</v>
      </c>
      <c r="HF500" s="5" t="s">
        <v>1063</v>
      </c>
      <c r="HG500" s="4">
        <v>2.15</v>
      </c>
      <c r="HH500">
        <v>0</v>
      </c>
      <c r="HI500">
        <v>30</v>
      </c>
      <c r="HJ500" s="26" t="s">
        <v>1358</v>
      </c>
      <c r="HK500" t="s">
        <v>815</v>
      </c>
      <c r="HL500">
        <v>1.38</v>
      </c>
      <c r="HM500">
        <v>0</v>
      </c>
      <c r="HN500">
        <v>30</v>
      </c>
      <c r="HO500" t="s">
        <v>1456</v>
      </c>
      <c r="HP500" s="26" t="s">
        <v>1358</v>
      </c>
      <c r="HZ500" t="s">
        <v>969</v>
      </c>
      <c r="IA500">
        <v>180</v>
      </c>
      <c r="IB500" s="10" t="s">
        <v>1</v>
      </c>
      <c r="IC500" s="10"/>
      <c r="ID500" s="10"/>
      <c r="IE500" s="10" t="s">
        <v>843</v>
      </c>
      <c r="IF500" s="10" t="b">
        <v>1</v>
      </c>
      <c r="IG500" s="10"/>
      <c r="IH500" s="10"/>
      <c r="II500" s="10"/>
      <c r="IJ500" s="10"/>
      <c r="IK500" s="10"/>
      <c r="IL500" s="10"/>
      <c r="IM500" s="10"/>
      <c r="IN500" s="10"/>
      <c r="IO500" s="10"/>
      <c r="IP500" s="10"/>
      <c r="IQ500" s="10"/>
      <c r="IR500" s="10"/>
      <c r="IS500" t="s">
        <v>1</v>
      </c>
      <c r="IT500" t="s">
        <v>1</v>
      </c>
      <c r="IW500" t="s">
        <v>1</v>
      </c>
      <c r="IX500" t="s">
        <v>1</v>
      </c>
      <c r="IY500" t="s">
        <v>808</v>
      </c>
      <c r="IZ500">
        <v>1200</v>
      </c>
      <c r="JA500" t="s">
        <v>1</v>
      </c>
      <c r="JB500" s="3" t="s">
        <v>1</v>
      </c>
      <c r="JC500" t="s">
        <v>1</v>
      </c>
      <c r="JD500" s="4" t="s">
        <v>1</v>
      </c>
      <c r="JE500" t="s">
        <v>1</v>
      </c>
      <c r="JF500" t="s">
        <v>1</v>
      </c>
      <c r="JR500" t="s">
        <v>1066</v>
      </c>
      <c r="JS500">
        <v>287.7</v>
      </c>
      <c r="JU500" t="s">
        <v>1</v>
      </c>
      <c r="JW500" t="s">
        <v>1</v>
      </c>
      <c r="JX500">
        <v>0</v>
      </c>
      <c r="JY500">
        <v>122</v>
      </c>
      <c r="JZ500" t="s">
        <v>796</v>
      </c>
      <c r="KA500" t="s">
        <v>567</v>
      </c>
      <c r="KB500" t="s">
        <v>738</v>
      </c>
      <c r="KC500" t="s">
        <v>1</v>
      </c>
      <c r="KD500" t="s">
        <v>1</v>
      </c>
      <c r="KE500" t="s">
        <v>1</v>
      </c>
      <c r="KF500" t="s">
        <v>1</v>
      </c>
      <c r="KG500" t="s">
        <v>1</v>
      </c>
      <c r="KH500" t="s">
        <v>1</v>
      </c>
      <c r="KI500" t="s">
        <v>1</v>
      </c>
      <c r="KJ500" t="s">
        <v>1</v>
      </c>
      <c r="KK500" t="s">
        <v>1</v>
      </c>
    </row>
    <row r="501" spans="1:297" x14ac:dyDescent="0.2">
      <c r="A501">
        <v>469</v>
      </c>
      <c r="B501" t="s">
        <v>705</v>
      </c>
      <c r="C501" t="s">
        <v>574</v>
      </c>
      <c r="D501" t="s">
        <v>565</v>
      </c>
      <c r="E501">
        <v>77</v>
      </c>
      <c r="F501" t="s">
        <v>783</v>
      </c>
      <c r="G501" t="s">
        <v>1</v>
      </c>
      <c r="H501" s="26" t="s">
        <v>1420</v>
      </c>
      <c r="I501" t="s">
        <v>1</v>
      </c>
      <c r="J501" t="s">
        <v>1</v>
      </c>
      <c r="K501" t="s">
        <v>1</v>
      </c>
      <c r="L501" t="s">
        <v>1</v>
      </c>
      <c r="M501" t="s">
        <v>1</v>
      </c>
      <c r="N501" t="s">
        <v>1</v>
      </c>
      <c r="O501" t="s">
        <v>1</v>
      </c>
      <c r="P501" t="s">
        <v>1</v>
      </c>
      <c r="Q501" t="s">
        <v>1</v>
      </c>
      <c r="R501" t="s">
        <v>1</v>
      </c>
      <c r="S501" t="s">
        <v>1</v>
      </c>
      <c r="T501" t="s">
        <v>1</v>
      </c>
      <c r="U501" t="s">
        <v>1</v>
      </c>
      <c r="V501" t="s">
        <v>1</v>
      </c>
      <c r="W501" t="s">
        <v>1</v>
      </c>
      <c r="X501" t="s">
        <v>1</v>
      </c>
      <c r="Y501" t="s">
        <v>1</v>
      </c>
      <c r="Z501" t="s">
        <v>1</v>
      </c>
      <c r="AA501" t="s">
        <v>1</v>
      </c>
      <c r="AB501" t="s">
        <v>1</v>
      </c>
      <c r="AC501" t="s">
        <v>1</v>
      </c>
      <c r="AD501" t="s">
        <v>1</v>
      </c>
      <c r="AE501" t="s">
        <v>1</v>
      </c>
      <c r="AF501" t="s">
        <v>1</v>
      </c>
      <c r="AG501" t="s">
        <v>1</v>
      </c>
      <c r="AH501" t="s">
        <v>1</v>
      </c>
      <c r="AI501" t="s">
        <v>1</v>
      </c>
      <c r="AJ501" t="s">
        <v>1</v>
      </c>
      <c r="AK501" t="s">
        <v>1</v>
      </c>
      <c r="AL501" t="s">
        <v>1</v>
      </c>
      <c r="AM501" t="s">
        <v>1</v>
      </c>
      <c r="AN501">
        <v>469</v>
      </c>
      <c r="AO501">
        <f t="shared" si="59"/>
        <v>469</v>
      </c>
      <c r="AP501">
        <f t="shared" si="62"/>
        <v>77</v>
      </c>
      <c r="AQ501">
        <f t="shared" si="63"/>
        <v>77</v>
      </c>
      <c r="AR501" s="26" t="s">
        <v>1355</v>
      </c>
      <c r="AS501" s="26" t="s">
        <v>1356</v>
      </c>
      <c r="AT501" t="s">
        <v>713</v>
      </c>
      <c r="AU501" t="s">
        <v>1</v>
      </c>
      <c r="AV501" t="s">
        <v>1</v>
      </c>
      <c r="AW501">
        <v>45.75</v>
      </c>
      <c r="AX501">
        <v>-95.12</v>
      </c>
      <c r="AY501" t="s">
        <v>737</v>
      </c>
      <c r="BA501" s="3">
        <v>3</v>
      </c>
      <c r="BB501" s="3"/>
      <c r="BC501" s="3"/>
      <c r="BD501" s="3"/>
      <c r="BE501" s="3"/>
      <c r="BF501">
        <v>1982</v>
      </c>
      <c r="BG501" s="24" t="s">
        <v>733</v>
      </c>
      <c r="BH501" s="24" t="s">
        <v>733</v>
      </c>
      <c r="BI501" s="24" t="s">
        <v>733</v>
      </c>
      <c r="BJ501" s="24" t="s">
        <v>732</v>
      </c>
      <c r="BK501" s="24" t="s">
        <v>733</v>
      </c>
      <c r="BL501" s="25" t="s">
        <v>733</v>
      </c>
      <c r="BM501" s="24" t="s">
        <v>733</v>
      </c>
      <c r="BN501" s="24" t="s">
        <v>732</v>
      </c>
      <c r="BO501" s="24" t="s">
        <v>733</v>
      </c>
      <c r="BP501" s="24" t="s">
        <v>733</v>
      </c>
      <c r="BQ501" s="24" t="s">
        <v>945</v>
      </c>
      <c r="BR501" s="24" t="s">
        <v>945</v>
      </c>
      <c r="BS501" s="25" t="s">
        <v>934</v>
      </c>
      <c r="BT501" s="24" t="s">
        <v>934</v>
      </c>
      <c r="BU501" s="24" t="s">
        <v>934</v>
      </c>
      <c r="BV501" s="24" t="s">
        <v>934</v>
      </c>
      <c r="BW501" s="24" t="s">
        <v>934</v>
      </c>
      <c r="BX501" s="24" t="s">
        <v>934</v>
      </c>
      <c r="BY501" s="25" t="s">
        <v>945</v>
      </c>
      <c r="BZ501" t="s">
        <v>5</v>
      </c>
      <c r="CB501" t="s">
        <v>1</v>
      </c>
      <c r="CC501" s="4">
        <v>8576.6666666666661</v>
      </c>
      <c r="CD501" s="4"/>
      <c r="CE501" s="4"/>
      <c r="CF501" t="s">
        <v>793</v>
      </c>
      <c r="CG501">
        <v>100</v>
      </c>
      <c r="CH501" t="s">
        <v>805</v>
      </c>
      <c r="CI501" s="28">
        <v>1</v>
      </c>
      <c r="CJ501" s="10" t="s">
        <v>1442</v>
      </c>
      <c r="CK501" t="s">
        <v>807</v>
      </c>
      <c r="CL501" s="4">
        <v>6956.666666666667</v>
      </c>
      <c r="CM501" t="s">
        <v>847</v>
      </c>
      <c r="CN501" s="4">
        <f>AVERAGE(115+51,109+54,112+56)</f>
        <v>165.66666666666666</v>
      </c>
      <c r="CO501" s="4" t="s">
        <v>1</v>
      </c>
      <c r="CP501" s="4" t="s">
        <v>1</v>
      </c>
      <c r="CQ501" s="4" t="s">
        <v>1</v>
      </c>
      <c r="CR501" s="4" t="s">
        <v>1</v>
      </c>
      <c r="CS501" s="4" t="s">
        <v>1</v>
      </c>
      <c r="CT501" s="4" t="s">
        <v>1</v>
      </c>
      <c r="CU501" s="4" t="s">
        <v>1</v>
      </c>
      <c r="CV501" t="s">
        <v>855</v>
      </c>
      <c r="CW501">
        <v>100</v>
      </c>
      <c r="CX501">
        <v>0</v>
      </c>
      <c r="CY501">
        <v>30</v>
      </c>
      <c r="CZ501" s="26" t="s">
        <v>1358</v>
      </c>
      <c r="DA501" t="s">
        <v>734</v>
      </c>
      <c r="DB501">
        <v>63.4</v>
      </c>
      <c r="DC501">
        <v>0</v>
      </c>
      <c r="DD501">
        <v>30</v>
      </c>
      <c r="DE501" s="26" t="s">
        <v>1358</v>
      </c>
      <c r="DF501" t="s">
        <v>735</v>
      </c>
      <c r="DG501">
        <v>20.3</v>
      </c>
      <c r="DH501">
        <v>0</v>
      </c>
      <c r="DI501">
        <v>30</v>
      </c>
      <c r="DJ501" s="26" t="s">
        <v>1358</v>
      </c>
      <c r="DK501" t="s">
        <v>736</v>
      </c>
      <c r="DL501">
        <v>16.2</v>
      </c>
      <c r="DM501">
        <v>0</v>
      </c>
      <c r="DN501">
        <v>30</v>
      </c>
      <c r="DO501" s="26" t="s">
        <v>1358</v>
      </c>
      <c r="DP501" t="s">
        <v>6</v>
      </c>
      <c r="DQ501" t="s">
        <v>1</v>
      </c>
      <c r="DR501">
        <v>5.8</v>
      </c>
      <c r="DS501">
        <v>0</v>
      </c>
      <c r="DT501">
        <v>30</v>
      </c>
      <c r="DU501" s="26" t="s">
        <v>1358</v>
      </c>
      <c r="EA501" t="s">
        <v>982</v>
      </c>
      <c r="EB501">
        <v>17.100000000000001</v>
      </c>
      <c r="EC501">
        <v>0</v>
      </c>
      <c r="ED501">
        <v>30</v>
      </c>
      <c r="EE501" s="26" t="s">
        <v>1358</v>
      </c>
      <c r="EF501" s="26"/>
      <c r="FZ501" t="s">
        <v>806</v>
      </c>
      <c r="GA501">
        <v>662</v>
      </c>
      <c r="GE501" s="26" t="s">
        <v>1358</v>
      </c>
      <c r="HA501" s="5" t="s">
        <v>1069</v>
      </c>
      <c r="HB501" s="4">
        <v>13.5</v>
      </c>
      <c r="HC501">
        <v>0</v>
      </c>
      <c r="HD501">
        <v>30</v>
      </c>
      <c r="HE501" s="26" t="s">
        <v>1358</v>
      </c>
      <c r="HF501" s="5" t="s">
        <v>1063</v>
      </c>
      <c r="HG501" s="4">
        <v>2.15</v>
      </c>
      <c r="HH501">
        <v>0</v>
      </c>
      <c r="HI501">
        <v>30</v>
      </c>
      <c r="HJ501" s="26" t="s">
        <v>1358</v>
      </c>
      <c r="HK501" t="s">
        <v>815</v>
      </c>
      <c r="HL501">
        <v>1.38</v>
      </c>
      <c r="HM501">
        <v>0</v>
      </c>
      <c r="HN501">
        <v>30</v>
      </c>
      <c r="HO501" t="s">
        <v>1456</v>
      </c>
      <c r="HP501" s="26" t="s">
        <v>1358</v>
      </c>
      <c r="HZ501" t="s">
        <v>969</v>
      </c>
      <c r="IA501">
        <v>180</v>
      </c>
      <c r="IB501" s="10" t="s">
        <v>1</v>
      </c>
      <c r="IC501" s="10"/>
      <c r="ID501" s="10"/>
      <c r="IE501" s="10" t="s">
        <v>1</v>
      </c>
      <c r="IF501" s="10" t="s">
        <v>1</v>
      </c>
      <c r="IG501" s="10"/>
      <c r="IH501" s="10"/>
      <c r="II501" s="10"/>
      <c r="IJ501" s="10"/>
      <c r="IK501" s="10"/>
      <c r="IL501" s="10"/>
      <c r="IM501" s="10"/>
      <c r="IN501" s="10"/>
      <c r="IO501" s="10"/>
      <c r="IP501" s="10"/>
      <c r="IQ501" s="10"/>
      <c r="IR501" s="10"/>
      <c r="IS501" t="s">
        <v>1</v>
      </c>
      <c r="IT501" t="s">
        <v>1</v>
      </c>
      <c r="IW501" t="s">
        <v>1</v>
      </c>
      <c r="IX501" t="s">
        <v>1</v>
      </c>
      <c r="IY501" t="s">
        <v>808</v>
      </c>
      <c r="IZ501">
        <v>1200</v>
      </c>
      <c r="JA501" t="s">
        <v>1</v>
      </c>
      <c r="JB501" s="3" t="s">
        <v>1</v>
      </c>
      <c r="JC501" t="s">
        <v>1</v>
      </c>
      <c r="JD501" s="4" t="s">
        <v>1</v>
      </c>
      <c r="JE501" t="s">
        <v>1</v>
      </c>
      <c r="JF501" t="s">
        <v>1</v>
      </c>
      <c r="JR501" t="s">
        <v>1066</v>
      </c>
      <c r="JS501">
        <v>304</v>
      </c>
      <c r="JU501" t="s">
        <v>1</v>
      </c>
      <c r="JW501" t="s">
        <v>1</v>
      </c>
      <c r="JX501">
        <v>0</v>
      </c>
      <c r="JY501">
        <v>122</v>
      </c>
      <c r="JZ501" t="s">
        <v>796</v>
      </c>
      <c r="KA501" t="s">
        <v>567</v>
      </c>
      <c r="KB501" t="s">
        <v>738</v>
      </c>
      <c r="KC501" t="s">
        <v>1</v>
      </c>
      <c r="KD501" t="s">
        <v>1</v>
      </c>
      <c r="KE501" t="s">
        <v>1</v>
      </c>
      <c r="KF501" t="s">
        <v>1</v>
      </c>
      <c r="KG501" t="s">
        <v>1</v>
      </c>
      <c r="KH501" t="s">
        <v>1</v>
      </c>
      <c r="KI501" t="s">
        <v>1</v>
      </c>
      <c r="KJ501" t="s">
        <v>1</v>
      </c>
      <c r="KK501" t="s">
        <v>1</v>
      </c>
    </row>
    <row r="502" spans="1:297" x14ac:dyDescent="0.2">
      <c r="A502">
        <v>470</v>
      </c>
      <c r="B502" t="s">
        <v>705</v>
      </c>
      <c r="C502" t="s">
        <v>575</v>
      </c>
      <c r="D502" t="s">
        <v>565</v>
      </c>
      <c r="E502">
        <v>77</v>
      </c>
      <c r="F502" t="s">
        <v>783</v>
      </c>
      <c r="G502" t="s">
        <v>1</v>
      </c>
      <c r="H502" s="26" t="s">
        <v>1420</v>
      </c>
      <c r="I502" t="s">
        <v>1</v>
      </c>
      <c r="J502" t="s">
        <v>1</v>
      </c>
      <c r="K502" t="s">
        <v>1</v>
      </c>
      <c r="L502" t="s">
        <v>1</v>
      </c>
      <c r="M502" t="s">
        <v>1</v>
      </c>
      <c r="N502" t="s">
        <v>1</v>
      </c>
      <c r="O502" t="s">
        <v>1</v>
      </c>
      <c r="P502" t="s">
        <v>1</v>
      </c>
      <c r="Q502" t="s">
        <v>1</v>
      </c>
      <c r="R502" t="s">
        <v>1</v>
      </c>
      <c r="S502" t="s">
        <v>1</v>
      </c>
      <c r="T502" t="s">
        <v>1</v>
      </c>
      <c r="U502" t="s">
        <v>1</v>
      </c>
      <c r="V502" t="s">
        <v>1</v>
      </c>
      <c r="W502" t="s">
        <v>1</v>
      </c>
      <c r="X502" t="s">
        <v>1</v>
      </c>
      <c r="Y502" t="s">
        <v>1</v>
      </c>
      <c r="Z502" t="s">
        <v>1</v>
      </c>
      <c r="AA502" t="s">
        <v>1</v>
      </c>
      <c r="AB502" t="s">
        <v>1</v>
      </c>
      <c r="AC502" t="s">
        <v>1</v>
      </c>
      <c r="AD502" t="s">
        <v>1</v>
      </c>
      <c r="AE502" t="s">
        <v>1</v>
      </c>
      <c r="AF502" t="s">
        <v>1</v>
      </c>
      <c r="AG502" t="s">
        <v>1</v>
      </c>
      <c r="AH502" t="s">
        <v>1</v>
      </c>
      <c r="AI502" t="s">
        <v>1</v>
      </c>
      <c r="AJ502" t="s">
        <v>1</v>
      </c>
      <c r="AK502" t="s">
        <v>1</v>
      </c>
      <c r="AL502" t="s">
        <v>1</v>
      </c>
      <c r="AM502" t="s">
        <v>1</v>
      </c>
      <c r="AN502">
        <v>470</v>
      </c>
      <c r="AO502">
        <f t="shared" si="59"/>
        <v>470</v>
      </c>
      <c r="AP502">
        <f t="shared" si="62"/>
        <v>77</v>
      </c>
      <c r="AQ502">
        <f t="shared" si="63"/>
        <v>77</v>
      </c>
      <c r="AR502" s="26" t="s">
        <v>1355</v>
      </c>
      <c r="AS502" s="26" t="s">
        <v>1356</v>
      </c>
      <c r="AT502" t="s">
        <v>713</v>
      </c>
      <c r="AU502" t="s">
        <v>1</v>
      </c>
      <c r="AV502" t="s">
        <v>1</v>
      </c>
      <c r="AW502">
        <v>45.75</v>
      </c>
      <c r="AX502">
        <v>-95.12</v>
      </c>
      <c r="AY502" t="s">
        <v>737</v>
      </c>
      <c r="BA502" s="3">
        <v>3</v>
      </c>
      <c r="BB502" s="3"/>
      <c r="BC502" s="3"/>
      <c r="BD502" s="3"/>
      <c r="BE502" s="3"/>
      <c r="BF502">
        <v>1982</v>
      </c>
      <c r="BG502" s="24" t="s">
        <v>733</v>
      </c>
      <c r="BH502" s="24" t="s">
        <v>733</v>
      </c>
      <c r="BI502" s="24" t="s">
        <v>733</v>
      </c>
      <c r="BJ502" s="24" t="s">
        <v>732</v>
      </c>
      <c r="BK502" s="24" t="s">
        <v>733</v>
      </c>
      <c r="BL502" s="25" t="s">
        <v>733</v>
      </c>
      <c r="BM502" s="24" t="s">
        <v>733</v>
      </c>
      <c r="BN502" s="24" t="s">
        <v>732</v>
      </c>
      <c r="BO502" s="24" t="s">
        <v>733</v>
      </c>
      <c r="BP502" s="24" t="s">
        <v>733</v>
      </c>
      <c r="BQ502" s="24" t="s">
        <v>945</v>
      </c>
      <c r="BR502" s="24" t="s">
        <v>945</v>
      </c>
      <c r="BS502" s="25" t="s">
        <v>934</v>
      </c>
      <c r="BT502" s="24" t="s">
        <v>934</v>
      </c>
      <c r="BU502" s="24" t="s">
        <v>934</v>
      </c>
      <c r="BV502" s="24" t="s">
        <v>934</v>
      </c>
      <c r="BW502" s="24" t="s">
        <v>934</v>
      </c>
      <c r="BX502" s="24" t="s">
        <v>934</v>
      </c>
      <c r="BY502" s="25" t="s">
        <v>945</v>
      </c>
      <c r="BZ502" t="s">
        <v>5</v>
      </c>
      <c r="CB502" t="s">
        <v>1</v>
      </c>
      <c r="CC502" s="4">
        <v>8766.6666666666679</v>
      </c>
      <c r="CD502" s="4"/>
      <c r="CE502" s="4"/>
      <c r="CF502" t="s">
        <v>793</v>
      </c>
      <c r="CG502">
        <v>100</v>
      </c>
      <c r="CH502" t="s">
        <v>805</v>
      </c>
      <c r="CI502" s="28">
        <v>1</v>
      </c>
      <c r="CJ502" s="10" t="s">
        <v>1442</v>
      </c>
      <c r="CK502" t="s">
        <v>807</v>
      </c>
      <c r="CL502" s="4">
        <v>7386.666666666667</v>
      </c>
      <c r="CM502" t="s">
        <v>847</v>
      </c>
      <c r="CN502" s="4">
        <f>AVERAGE(115+50,113+56,116+60)</f>
        <v>170</v>
      </c>
      <c r="CO502" s="4" t="s">
        <v>1</v>
      </c>
      <c r="CP502" s="4" t="s">
        <v>1</v>
      </c>
      <c r="CQ502" s="4" t="s">
        <v>1</v>
      </c>
      <c r="CR502" s="4" t="s">
        <v>1</v>
      </c>
      <c r="CS502" s="4" t="s">
        <v>1</v>
      </c>
      <c r="CT502" s="4" t="s">
        <v>1</v>
      </c>
      <c r="CU502" s="4" t="s">
        <v>1</v>
      </c>
      <c r="CV502" t="s">
        <v>855</v>
      </c>
      <c r="CW502">
        <v>100</v>
      </c>
      <c r="CX502">
        <v>0</v>
      </c>
      <c r="CY502">
        <v>30</v>
      </c>
      <c r="CZ502" s="26" t="s">
        <v>1358</v>
      </c>
      <c r="DA502" t="s">
        <v>734</v>
      </c>
      <c r="DB502">
        <v>63.4</v>
      </c>
      <c r="DC502">
        <v>0</v>
      </c>
      <c r="DD502">
        <v>30</v>
      </c>
      <c r="DE502" s="26" t="s">
        <v>1358</v>
      </c>
      <c r="DF502" t="s">
        <v>735</v>
      </c>
      <c r="DG502">
        <v>20.3</v>
      </c>
      <c r="DH502">
        <v>0</v>
      </c>
      <c r="DI502">
        <v>30</v>
      </c>
      <c r="DJ502" s="26" t="s">
        <v>1358</v>
      </c>
      <c r="DK502" t="s">
        <v>736</v>
      </c>
      <c r="DL502">
        <v>16.2</v>
      </c>
      <c r="DM502">
        <v>0</v>
      </c>
      <c r="DN502">
        <v>30</v>
      </c>
      <c r="DO502" s="26" t="s">
        <v>1358</v>
      </c>
      <c r="DP502" t="s">
        <v>6</v>
      </c>
      <c r="DQ502" t="s">
        <v>1</v>
      </c>
      <c r="DR502">
        <v>5.8</v>
      </c>
      <c r="DS502">
        <v>0</v>
      </c>
      <c r="DT502">
        <v>30</v>
      </c>
      <c r="DU502" s="26" t="s">
        <v>1358</v>
      </c>
      <c r="EA502" t="s">
        <v>982</v>
      </c>
      <c r="EB502">
        <v>17.100000000000001</v>
      </c>
      <c r="EC502">
        <v>0</v>
      </c>
      <c r="ED502">
        <v>30</v>
      </c>
      <c r="EE502" s="26" t="s">
        <v>1358</v>
      </c>
      <c r="EF502" s="26"/>
      <c r="FZ502" t="s">
        <v>806</v>
      </c>
      <c r="GA502">
        <v>662</v>
      </c>
      <c r="GE502" s="26" t="s">
        <v>1358</v>
      </c>
      <c r="HA502" s="5" t="s">
        <v>1069</v>
      </c>
      <c r="HB502" s="4">
        <v>13.5</v>
      </c>
      <c r="HC502">
        <v>0</v>
      </c>
      <c r="HD502">
        <v>30</v>
      </c>
      <c r="HE502" s="26" t="s">
        <v>1358</v>
      </c>
      <c r="HF502" s="5" t="s">
        <v>1063</v>
      </c>
      <c r="HG502" s="4">
        <v>2.15</v>
      </c>
      <c r="HH502">
        <v>0</v>
      </c>
      <c r="HI502">
        <v>30</v>
      </c>
      <c r="HJ502" s="26" t="s">
        <v>1358</v>
      </c>
      <c r="HK502" t="s">
        <v>815</v>
      </c>
      <c r="HL502">
        <v>1.38</v>
      </c>
      <c r="HM502">
        <v>0</v>
      </c>
      <c r="HN502">
        <v>30</v>
      </c>
      <c r="HO502" t="s">
        <v>1456</v>
      </c>
      <c r="HP502" s="26" t="s">
        <v>1358</v>
      </c>
      <c r="HZ502" t="s">
        <v>969</v>
      </c>
      <c r="IA502">
        <v>180</v>
      </c>
      <c r="IB502" s="10" t="s">
        <v>1</v>
      </c>
      <c r="IC502" s="10"/>
      <c r="ID502" s="10"/>
      <c r="IE502" s="10" t="s">
        <v>1</v>
      </c>
      <c r="IF502" s="10" t="s">
        <v>1</v>
      </c>
      <c r="IG502" s="10"/>
      <c r="IH502" s="10"/>
      <c r="II502" s="10"/>
      <c r="IJ502" s="10"/>
      <c r="IK502" s="10"/>
      <c r="IL502" s="10"/>
      <c r="IM502" s="10"/>
      <c r="IN502" s="10"/>
      <c r="IO502" s="10"/>
      <c r="IP502" s="10"/>
      <c r="IQ502" s="10"/>
      <c r="IR502" s="10"/>
      <c r="IS502" t="s">
        <v>1</v>
      </c>
      <c r="IT502" t="s">
        <v>1</v>
      </c>
      <c r="IW502" t="s">
        <v>1</v>
      </c>
      <c r="IX502" t="s">
        <v>1</v>
      </c>
      <c r="IY502" t="s">
        <v>808</v>
      </c>
      <c r="IZ502">
        <v>1200</v>
      </c>
      <c r="JA502" t="s">
        <v>1</v>
      </c>
      <c r="JB502" s="3" t="s">
        <v>1</v>
      </c>
      <c r="JC502" t="s">
        <v>1</v>
      </c>
      <c r="JD502" s="4" t="s">
        <v>1</v>
      </c>
      <c r="JE502" t="s">
        <v>1</v>
      </c>
      <c r="JF502" t="s">
        <v>1</v>
      </c>
      <c r="JR502" t="s">
        <v>1066</v>
      </c>
      <c r="JS502">
        <v>309.60000000000002</v>
      </c>
      <c r="JU502" t="s">
        <v>1</v>
      </c>
      <c r="JW502" t="s">
        <v>1</v>
      </c>
      <c r="JX502">
        <v>0</v>
      </c>
      <c r="JY502">
        <v>122</v>
      </c>
      <c r="JZ502" t="s">
        <v>796</v>
      </c>
      <c r="KA502" t="s">
        <v>567</v>
      </c>
      <c r="KB502" t="s">
        <v>738</v>
      </c>
      <c r="KC502" t="s">
        <v>1</v>
      </c>
      <c r="KD502" t="s">
        <v>1</v>
      </c>
      <c r="KE502" t="s">
        <v>1</v>
      </c>
      <c r="KF502" t="s">
        <v>1</v>
      </c>
      <c r="KG502" t="s">
        <v>1</v>
      </c>
      <c r="KH502" t="s">
        <v>1</v>
      </c>
      <c r="KI502" t="s">
        <v>1</v>
      </c>
      <c r="KJ502" t="s">
        <v>1</v>
      </c>
      <c r="KK502" t="s">
        <v>1</v>
      </c>
    </row>
    <row r="503" spans="1:297" x14ac:dyDescent="0.2">
      <c r="A503">
        <v>471</v>
      </c>
      <c r="B503" t="s">
        <v>705</v>
      </c>
      <c r="C503" t="s">
        <v>578</v>
      </c>
      <c r="D503" t="s">
        <v>576</v>
      </c>
      <c r="E503">
        <v>78</v>
      </c>
      <c r="F503" t="s">
        <v>577</v>
      </c>
      <c r="G503" t="s">
        <v>1</v>
      </c>
      <c r="H503" s="26" t="s">
        <v>1420</v>
      </c>
      <c r="I503" t="s">
        <v>1</v>
      </c>
      <c r="J503" t="s">
        <v>1</v>
      </c>
      <c r="K503" t="s">
        <v>1</v>
      </c>
      <c r="L503" t="s">
        <v>1</v>
      </c>
      <c r="M503" t="s">
        <v>1</v>
      </c>
      <c r="N503" t="s">
        <v>1</v>
      </c>
      <c r="O503" t="s">
        <v>1</v>
      </c>
      <c r="P503" t="s">
        <v>1</v>
      </c>
      <c r="Q503" t="s">
        <v>1</v>
      </c>
      <c r="R503" t="s">
        <v>1</v>
      </c>
      <c r="S503" t="s">
        <v>1</v>
      </c>
      <c r="T503" t="s">
        <v>1</v>
      </c>
      <c r="U503" t="s">
        <v>1</v>
      </c>
      <c r="V503" t="s">
        <v>1</v>
      </c>
      <c r="W503" t="s">
        <v>1</v>
      </c>
      <c r="X503" t="s">
        <v>1</v>
      </c>
      <c r="Y503" t="s">
        <v>1</v>
      </c>
      <c r="Z503" t="s">
        <v>1</v>
      </c>
      <c r="AA503" t="s">
        <v>1</v>
      </c>
      <c r="AB503" t="s">
        <v>1</v>
      </c>
      <c r="AC503" t="s">
        <v>1</v>
      </c>
      <c r="AD503" t="s">
        <v>1</v>
      </c>
      <c r="AE503" t="s">
        <v>1</v>
      </c>
      <c r="AF503" t="s">
        <v>1</v>
      </c>
      <c r="AG503" t="s">
        <v>1</v>
      </c>
      <c r="AH503" t="s">
        <v>1</v>
      </c>
      <c r="AI503" t="s">
        <v>1</v>
      </c>
      <c r="AJ503" t="s">
        <v>1</v>
      </c>
      <c r="AK503" t="s">
        <v>1</v>
      </c>
      <c r="AL503" t="s">
        <v>1</v>
      </c>
      <c r="AM503" t="s">
        <v>1</v>
      </c>
      <c r="AN503">
        <v>471</v>
      </c>
      <c r="AO503">
        <f t="shared" si="59"/>
        <v>471</v>
      </c>
      <c r="AP503">
        <f t="shared" si="62"/>
        <v>78</v>
      </c>
      <c r="AQ503">
        <f t="shared" si="63"/>
        <v>78</v>
      </c>
      <c r="AR503" s="26" t="s">
        <v>1355</v>
      </c>
      <c r="AS503" s="26" t="s">
        <v>1356</v>
      </c>
      <c r="AT503" t="s">
        <v>714</v>
      </c>
      <c r="AU503" t="s">
        <v>1</v>
      </c>
      <c r="AV503" t="s">
        <v>1</v>
      </c>
      <c r="AW503">
        <v>56.48</v>
      </c>
      <c r="AX503">
        <v>13</v>
      </c>
      <c r="AY503" t="s">
        <v>737</v>
      </c>
      <c r="BA503" s="3">
        <v>1</v>
      </c>
      <c r="BB503" s="3"/>
      <c r="BC503" s="3"/>
      <c r="BD503" s="3"/>
      <c r="BE503" s="3"/>
      <c r="BF503">
        <v>1995</v>
      </c>
      <c r="BG503" s="24" t="s">
        <v>733</v>
      </c>
      <c r="BH503" s="24" t="s">
        <v>733</v>
      </c>
      <c r="BI503" s="24" t="s">
        <v>733</v>
      </c>
      <c r="BJ503" s="24" t="s">
        <v>732</v>
      </c>
      <c r="BK503" s="24" t="s">
        <v>733</v>
      </c>
      <c r="BL503" s="25" t="s">
        <v>733</v>
      </c>
      <c r="BM503" s="24" t="s">
        <v>733</v>
      </c>
      <c r="BN503" s="24" t="s">
        <v>732</v>
      </c>
      <c r="BO503" s="24" t="s">
        <v>733</v>
      </c>
      <c r="BP503" s="24" t="s">
        <v>733</v>
      </c>
      <c r="BQ503" s="24" t="s">
        <v>945</v>
      </c>
      <c r="BR503" s="24" t="s">
        <v>945</v>
      </c>
      <c r="BS503" s="25" t="s">
        <v>934</v>
      </c>
      <c r="BT503" s="24" t="s">
        <v>934</v>
      </c>
      <c r="BU503" s="24" t="s">
        <v>934</v>
      </c>
      <c r="BV503" s="24" t="s">
        <v>934</v>
      </c>
      <c r="BW503" s="24" t="s">
        <v>934</v>
      </c>
      <c r="BX503" s="24" t="s">
        <v>934</v>
      </c>
      <c r="BY503" s="25" t="s">
        <v>945</v>
      </c>
      <c r="BZ503" t="s">
        <v>788</v>
      </c>
      <c r="CB503" t="s">
        <v>1407</v>
      </c>
      <c r="CC503" s="4">
        <f>AVERAGE(6570*85%,5850*85%,24300*22%,3200*85%,3850*85%)</f>
        <v>4379.1000000000004</v>
      </c>
      <c r="CD503" s="4"/>
      <c r="CE503" s="4"/>
      <c r="CF503" t="s">
        <v>793</v>
      </c>
      <c r="CG503">
        <v>100</v>
      </c>
      <c r="CH503" t="s">
        <v>805</v>
      </c>
      <c r="CI503" s="28">
        <f>AVERAGE(1.5,1.5,0.6,1.5,1.5)</f>
        <v>1.3199999999999998</v>
      </c>
      <c r="CJ503" s="10" t="s">
        <v>1442</v>
      </c>
      <c r="CK503" s="9" t="s">
        <v>1</v>
      </c>
      <c r="CL503" s="4" t="s">
        <v>1</v>
      </c>
      <c r="CM503" t="s">
        <v>848</v>
      </c>
      <c r="CN503" s="4">
        <f>AVERAGE(113,83,60,66,52)</f>
        <v>74.8</v>
      </c>
      <c r="CO503" s="4" t="s">
        <v>1</v>
      </c>
      <c r="CP503" s="4" t="s">
        <v>1</v>
      </c>
      <c r="CQ503" s="4" t="s">
        <v>1</v>
      </c>
      <c r="CR503" s="4" t="s">
        <v>1</v>
      </c>
      <c r="CS503" s="4" t="s">
        <v>1</v>
      </c>
      <c r="CT503" s="4" t="s">
        <v>1</v>
      </c>
      <c r="CU503" s="4" t="s">
        <v>1</v>
      </c>
      <c r="CV503" t="s">
        <v>855</v>
      </c>
      <c r="CW503">
        <v>100</v>
      </c>
      <c r="CX503" s="28">
        <v>0</v>
      </c>
      <c r="CY503" s="28">
        <v>30</v>
      </c>
      <c r="CZ503" s="26" t="s">
        <v>1358</v>
      </c>
      <c r="DA503" t="s">
        <v>734</v>
      </c>
      <c r="DB503" s="28">
        <f>77/1.01</f>
        <v>76.237623762376231</v>
      </c>
      <c r="DC503" s="28">
        <v>0</v>
      </c>
      <c r="DD503" s="28">
        <v>30</v>
      </c>
      <c r="DE503" s="26" t="s">
        <v>1358</v>
      </c>
      <c r="DF503" t="s">
        <v>735</v>
      </c>
      <c r="DG503" s="28">
        <f>14/1.01</f>
        <v>13.861386138613861</v>
      </c>
      <c r="DH503" s="28">
        <v>0</v>
      </c>
      <c r="DI503" s="28">
        <v>30</v>
      </c>
      <c r="DJ503" s="26" t="s">
        <v>1358</v>
      </c>
      <c r="DK503" t="s">
        <v>736</v>
      </c>
      <c r="DL503" s="28">
        <f>10/1.01</f>
        <v>9.9009900990099009</v>
      </c>
      <c r="DM503" s="28">
        <v>0</v>
      </c>
      <c r="DN503" s="28">
        <v>30</v>
      </c>
      <c r="DO503" s="26" t="s">
        <v>1358</v>
      </c>
      <c r="DP503" t="s">
        <v>6</v>
      </c>
      <c r="DQ503" t="s">
        <v>1</v>
      </c>
      <c r="DR503">
        <v>6.2</v>
      </c>
      <c r="DS503" s="28">
        <v>0</v>
      </c>
      <c r="DT503" s="28">
        <v>30</v>
      </c>
      <c r="DU503" s="26" t="s">
        <v>1358</v>
      </c>
      <c r="DX503" s="28"/>
      <c r="DY503" s="28"/>
      <c r="DZ503" s="28"/>
      <c r="EA503" t="s">
        <v>982</v>
      </c>
      <c r="EB503">
        <v>29</v>
      </c>
      <c r="EC503" s="28">
        <v>0</v>
      </c>
      <c r="ED503" s="28">
        <v>30</v>
      </c>
      <c r="EE503" s="26" t="s">
        <v>1358</v>
      </c>
      <c r="EF503" s="26"/>
      <c r="EI503" s="28"/>
      <c r="EJ503" s="28"/>
      <c r="EK503" s="28"/>
      <c r="EL503" s="28"/>
      <c r="EM503" s="28"/>
      <c r="EN503" s="28"/>
      <c r="EO503" s="28"/>
      <c r="EP503" s="28"/>
      <c r="EQ503" s="28"/>
      <c r="ER503" s="28"/>
      <c r="ES503" s="28"/>
      <c r="ET503" s="28"/>
      <c r="EU503" s="28"/>
      <c r="EV503" s="28"/>
      <c r="EW503" s="28"/>
      <c r="EX503" s="28"/>
      <c r="EY503" s="28"/>
      <c r="EZ503" s="28"/>
      <c r="FA503" s="28"/>
      <c r="FB503" s="28"/>
      <c r="FC503" s="28"/>
      <c r="FD503" s="28"/>
      <c r="FE503" s="28"/>
      <c r="FF503" s="28"/>
      <c r="FG503" s="28"/>
      <c r="FH503" s="28"/>
      <c r="FI503" s="28"/>
      <c r="FJ503" s="28"/>
      <c r="FK503" s="28"/>
      <c r="FL503" s="28"/>
      <c r="FM503" s="28"/>
      <c r="FN503" s="28"/>
      <c r="FO503" s="28"/>
      <c r="FP503" s="28"/>
      <c r="FQ503" s="28"/>
      <c r="FR503" s="28"/>
      <c r="FS503" s="28"/>
      <c r="FT503" s="28"/>
      <c r="FU503" s="28"/>
      <c r="FV503" s="28"/>
      <c r="FW503" s="28"/>
      <c r="FX503" s="28"/>
      <c r="FY503" s="28"/>
      <c r="FZ503" t="s">
        <v>806</v>
      </c>
      <c r="GA503">
        <v>736.4</v>
      </c>
      <c r="GE503" s="26" t="s">
        <v>1358</v>
      </c>
      <c r="HA503" s="5" t="s">
        <v>1</v>
      </c>
      <c r="HB503" s="4" t="s">
        <v>1</v>
      </c>
      <c r="HC503" t="s">
        <v>1</v>
      </c>
      <c r="HD503" t="s">
        <v>1</v>
      </c>
      <c r="HE503" t="s">
        <v>1</v>
      </c>
      <c r="HF503" s="5" t="s">
        <v>1063</v>
      </c>
      <c r="HG503" s="4">
        <v>1.8888888888888888</v>
      </c>
      <c r="HH503" s="28">
        <v>0</v>
      </c>
      <c r="HI503" s="28">
        <v>30</v>
      </c>
      <c r="HJ503" s="26" t="s">
        <v>1358</v>
      </c>
      <c r="HK503" t="s">
        <v>1</v>
      </c>
      <c r="HL503" t="s">
        <v>1</v>
      </c>
      <c r="HM503" t="s">
        <v>1</v>
      </c>
      <c r="HN503" t="s">
        <v>1</v>
      </c>
      <c r="HO503" t="s">
        <v>1</v>
      </c>
      <c r="HP503" t="s">
        <v>1</v>
      </c>
      <c r="HZ503" t="s">
        <v>966</v>
      </c>
      <c r="IA503">
        <v>48</v>
      </c>
      <c r="IB503" s="5" t="s">
        <v>1</v>
      </c>
      <c r="IC503" s="5"/>
      <c r="ID503" s="5"/>
      <c r="IE503" s="10" t="s">
        <v>1</v>
      </c>
      <c r="IF503" s="10" t="s">
        <v>1</v>
      </c>
      <c r="IG503" s="10"/>
      <c r="IH503" s="10"/>
      <c r="II503" s="10"/>
      <c r="IJ503" s="10"/>
      <c r="IK503" s="10"/>
      <c r="IL503" s="10"/>
      <c r="IM503" s="10"/>
      <c r="IN503" s="10"/>
      <c r="IO503" s="10"/>
      <c r="IP503" s="10"/>
      <c r="IQ503" s="10"/>
      <c r="IR503" s="10"/>
      <c r="IS503" t="s">
        <v>1</v>
      </c>
      <c r="IT503" t="s">
        <v>1</v>
      </c>
      <c r="IW503" t="s">
        <v>979</v>
      </c>
      <c r="IX503">
        <v>113</v>
      </c>
      <c r="IY503" t="s">
        <v>1</v>
      </c>
      <c r="IZ503" t="s">
        <v>1</v>
      </c>
      <c r="JA503" t="s">
        <v>1065</v>
      </c>
      <c r="JB503" s="3">
        <v>20</v>
      </c>
      <c r="JC503" t="s">
        <v>1</v>
      </c>
      <c r="JD503" s="4" t="s">
        <v>1</v>
      </c>
      <c r="JE503" t="s">
        <v>810</v>
      </c>
      <c r="JF503">
        <v>100</v>
      </c>
      <c r="JR503" t="s">
        <v>1066</v>
      </c>
      <c r="JS503">
        <v>300.10000000000002</v>
      </c>
      <c r="JU503" t="s">
        <v>1</v>
      </c>
      <c r="JW503" t="s">
        <v>842</v>
      </c>
      <c r="JX503">
        <v>0</v>
      </c>
      <c r="JY503">
        <v>90</v>
      </c>
      <c r="JZ503" t="s">
        <v>799</v>
      </c>
      <c r="KA503" t="s">
        <v>579</v>
      </c>
      <c r="KB503" t="s">
        <v>738</v>
      </c>
      <c r="KC503" t="s">
        <v>1</v>
      </c>
      <c r="KD503" t="s">
        <v>1</v>
      </c>
      <c r="KE503" t="s">
        <v>1</v>
      </c>
      <c r="KF503" t="s">
        <v>1</v>
      </c>
      <c r="KG503" t="s">
        <v>1</v>
      </c>
      <c r="KH503" t="s">
        <v>1</v>
      </c>
      <c r="KI503" t="s">
        <v>1</v>
      </c>
      <c r="KJ503" t="s">
        <v>1</v>
      </c>
      <c r="KK503" t="s">
        <v>1</v>
      </c>
    </row>
    <row r="504" spans="1:297" x14ac:dyDescent="0.2">
      <c r="A504">
        <v>472</v>
      </c>
      <c r="B504" t="s">
        <v>705</v>
      </c>
      <c r="C504" t="s">
        <v>580</v>
      </c>
      <c r="D504" t="s">
        <v>576</v>
      </c>
      <c r="E504">
        <v>78</v>
      </c>
      <c r="F504" t="s">
        <v>577</v>
      </c>
      <c r="G504" t="s">
        <v>1</v>
      </c>
      <c r="H504" s="26" t="s">
        <v>1420</v>
      </c>
      <c r="I504" t="s">
        <v>1</v>
      </c>
      <c r="J504" t="s">
        <v>1</v>
      </c>
      <c r="K504" t="s">
        <v>1</v>
      </c>
      <c r="L504" t="s">
        <v>1</v>
      </c>
      <c r="M504" t="s">
        <v>1</v>
      </c>
      <c r="N504" t="s">
        <v>1</v>
      </c>
      <c r="O504" t="s">
        <v>1</v>
      </c>
      <c r="P504" t="s">
        <v>1</v>
      </c>
      <c r="Q504" t="s">
        <v>1</v>
      </c>
      <c r="R504" t="s">
        <v>1</v>
      </c>
      <c r="S504" t="s">
        <v>1</v>
      </c>
      <c r="T504" t="s">
        <v>1</v>
      </c>
      <c r="U504" t="s">
        <v>1</v>
      </c>
      <c r="V504" t="s">
        <v>1</v>
      </c>
      <c r="W504" t="s">
        <v>1</v>
      </c>
      <c r="X504" t="s">
        <v>1</v>
      </c>
      <c r="Y504" t="s">
        <v>1</v>
      </c>
      <c r="Z504" t="s">
        <v>1</v>
      </c>
      <c r="AA504" t="s">
        <v>1</v>
      </c>
      <c r="AB504" t="s">
        <v>1</v>
      </c>
      <c r="AC504" t="s">
        <v>1</v>
      </c>
      <c r="AD504" t="s">
        <v>1</v>
      </c>
      <c r="AE504" t="s">
        <v>1</v>
      </c>
      <c r="AF504" t="s">
        <v>1</v>
      </c>
      <c r="AG504" t="s">
        <v>1</v>
      </c>
      <c r="AH504" t="s">
        <v>1</v>
      </c>
      <c r="AI504" t="s">
        <v>1</v>
      </c>
      <c r="AJ504" t="s">
        <v>1</v>
      </c>
      <c r="AK504" t="s">
        <v>1</v>
      </c>
      <c r="AL504" t="s">
        <v>1</v>
      </c>
      <c r="AM504" t="s">
        <v>1</v>
      </c>
      <c r="AN504">
        <v>472</v>
      </c>
      <c r="AO504">
        <f t="shared" si="59"/>
        <v>472</v>
      </c>
      <c r="AP504">
        <f t="shared" si="62"/>
        <v>78</v>
      </c>
      <c r="AQ504">
        <f t="shared" si="63"/>
        <v>78</v>
      </c>
      <c r="AR504" s="26" t="s">
        <v>1355</v>
      </c>
      <c r="AS504" s="26" t="s">
        <v>1356</v>
      </c>
      <c r="AT504" t="s">
        <v>714</v>
      </c>
      <c r="AU504" t="s">
        <v>1</v>
      </c>
      <c r="AV504" t="s">
        <v>1</v>
      </c>
      <c r="AW504">
        <v>56.48</v>
      </c>
      <c r="AX504">
        <v>13</v>
      </c>
      <c r="AY504" t="s">
        <v>737</v>
      </c>
      <c r="BA504" s="3">
        <v>1</v>
      </c>
      <c r="BB504" s="3"/>
      <c r="BC504" s="3"/>
      <c r="BD504" s="3"/>
      <c r="BE504" s="3"/>
      <c r="BF504">
        <v>1995</v>
      </c>
      <c r="BG504" s="24" t="s">
        <v>733</v>
      </c>
      <c r="BH504" s="24" t="s">
        <v>733</v>
      </c>
      <c r="BI504" s="24" t="s">
        <v>733</v>
      </c>
      <c r="BJ504" s="24" t="s">
        <v>732</v>
      </c>
      <c r="BK504" s="24" t="s">
        <v>733</v>
      </c>
      <c r="BL504" s="25" t="s">
        <v>733</v>
      </c>
      <c r="BM504" s="24" t="s">
        <v>733</v>
      </c>
      <c r="BN504" s="24" t="s">
        <v>732</v>
      </c>
      <c r="BO504" s="24" t="s">
        <v>733</v>
      </c>
      <c r="BP504" s="24" t="s">
        <v>733</v>
      </c>
      <c r="BQ504" s="24" t="s">
        <v>945</v>
      </c>
      <c r="BR504" s="24" t="s">
        <v>945</v>
      </c>
      <c r="BS504" s="25" t="s">
        <v>934</v>
      </c>
      <c r="BT504" s="24" t="s">
        <v>934</v>
      </c>
      <c r="BU504" s="24" t="s">
        <v>934</v>
      </c>
      <c r="BV504" s="24" t="s">
        <v>934</v>
      </c>
      <c r="BW504" s="24" t="s">
        <v>934</v>
      </c>
      <c r="BX504" s="24" t="s">
        <v>934</v>
      </c>
      <c r="BY504" s="25" t="s">
        <v>945</v>
      </c>
      <c r="BZ504" t="s">
        <v>788</v>
      </c>
      <c r="CB504" t="s">
        <v>1407</v>
      </c>
      <c r="CC504" s="4">
        <f>AVERAGE(5140*85%,6150*85%,31700*22%,3680*85%,3050*85%)</f>
        <v>4458.2</v>
      </c>
      <c r="CD504" s="4"/>
      <c r="CE504" s="4"/>
      <c r="CF504" t="s">
        <v>793</v>
      </c>
      <c r="CG504">
        <v>100</v>
      </c>
      <c r="CH504" t="s">
        <v>805</v>
      </c>
      <c r="CI504" s="28">
        <f>AVERAGE(1.5,1.5,0.6,1.5,1.5)</f>
        <v>1.3199999999999998</v>
      </c>
      <c r="CJ504" s="10" t="s">
        <v>1442</v>
      </c>
      <c r="CK504" s="9" t="s">
        <v>1</v>
      </c>
      <c r="CL504" s="4" t="s">
        <v>1</v>
      </c>
      <c r="CM504" t="s">
        <v>848</v>
      </c>
      <c r="CN504" s="4">
        <f>AVERAGE(86,83,69,75,49)</f>
        <v>72.400000000000006</v>
      </c>
      <c r="CO504" s="4" t="s">
        <v>1</v>
      </c>
      <c r="CP504" s="4" t="s">
        <v>1</v>
      </c>
      <c r="CQ504" s="4" t="s">
        <v>1</v>
      </c>
      <c r="CR504" s="4" t="s">
        <v>1</v>
      </c>
      <c r="CS504" s="4" t="s">
        <v>1</v>
      </c>
      <c r="CT504" s="4" t="s">
        <v>1</v>
      </c>
      <c r="CU504" s="4" t="s">
        <v>1</v>
      </c>
      <c r="CV504" t="s">
        <v>855</v>
      </c>
      <c r="CW504">
        <v>100</v>
      </c>
      <c r="CX504" s="28">
        <v>0</v>
      </c>
      <c r="CY504" s="28">
        <v>30</v>
      </c>
      <c r="CZ504" s="26" t="s">
        <v>1358</v>
      </c>
      <c r="DA504" t="s">
        <v>734</v>
      </c>
      <c r="DB504" s="28">
        <f t="shared" ref="DB504:DB506" si="66">77/1.01</f>
        <v>76.237623762376231</v>
      </c>
      <c r="DC504" s="28">
        <v>0</v>
      </c>
      <c r="DD504" s="28">
        <v>30</v>
      </c>
      <c r="DE504" s="26" t="s">
        <v>1358</v>
      </c>
      <c r="DF504" t="s">
        <v>735</v>
      </c>
      <c r="DG504" s="28">
        <f t="shared" ref="DG504:DG506" si="67">14/1.01</f>
        <v>13.861386138613861</v>
      </c>
      <c r="DH504" s="28">
        <v>0</v>
      </c>
      <c r="DI504" s="28">
        <v>30</v>
      </c>
      <c r="DJ504" s="26" t="s">
        <v>1358</v>
      </c>
      <c r="DK504" t="s">
        <v>736</v>
      </c>
      <c r="DL504" s="28">
        <f t="shared" ref="DL504:DL506" si="68">10/1.01</f>
        <v>9.9009900990099009</v>
      </c>
      <c r="DM504" s="28">
        <v>0</v>
      </c>
      <c r="DN504" s="28">
        <v>30</v>
      </c>
      <c r="DO504" s="26" t="s">
        <v>1358</v>
      </c>
      <c r="DP504" t="s">
        <v>6</v>
      </c>
      <c r="DQ504" t="s">
        <v>1</v>
      </c>
      <c r="DR504">
        <v>6.2</v>
      </c>
      <c r="DS504" s="28">
        <v>0</v>
      </c>
      <c r="DT504" s="28">
        <v>30</v>
      </c>
      <c r="DU504" s="26" t="s">
        <v>1358</v>
      </c>
      <c r="DX504" s="28"/>
      <c r="DY504" s="28"/>
      <c r="DZ504" s="28"/>
      <c r="EA504" t="s">
        <v>982</v>
      </c>
      <c r="EB504">
        <v>29</v>
      </c>
      <c r="EC504" s="28">
        <v>0</v>
      </c>
      <c r="ED504" s="28">
        <v>30</v>
      </c>
      <c r="EE504" s="26" t="s">
        <v>1358</v>
      </c>
      <c r="EF504" s="26"/>
      <c r="EI504" s="28"/>
      <c r="EJ504" s="28"/>
      <c r="EK504" s="28"/>
      <c r="EL504" s="28"/>
      <c r="EM504" s="28"/>
      <c r="EN504" s="28"/>
      <c r="EO504" s="28"/>
      <c r="EP504" s="28"/>
      <c r="EQ504" s="28"/>
      <c r="ER504" s="28"/>
      <c r="ES504" s="28"/>
      <c r="ET504" s="28"/>
      <c r="EU504" s="28"/>
      <c r="EV504" s="28"/>
      <c r="EW504" s="28"/>
      <c r="EX504" s="28"/>
      <c r="EY504" s="28"/>
      <c r="EZ504" s="28"/>
      <c r="FA504" s="28"/>
      <c r="FB504" s="28"/>
      <c r="FC504" s="28"/>
      <c r="FD504" s="28"/>
      <c r="FE504" s="28"/>
      <c r="FF504" s="28"/>
      <c r="FG504" s="28"/>
      <c r="FH504" s="28"/>
      <c r="FI504" s="28"/>
      <c r="FJ504" s="28"/>
      <c r="FK504" s="28"/>
      <c r="FL504" s="28"/>
      <c r="FM504" s="28"/>
      <c r="FN504" s="28"/>
      <c r="FO504" s="28"/>
      <c r="FP504" s="28"/>
      <c r="FQ504" s="28"/>
      <c r="FR504" s="28"/>
      <c r="FS504" s="28"/>
      <c r="FT504" s="28"/>
      <c r="FU504" s="28"/>
      <c r="FV504" s="28"/>
      <c r="FW504" s="28"/>
      <c r="FX504" s="28"/>
      <c r="FY504" s="28"/>
      <c r="FZ504" t="s">
        <v>806</v>
      </c>
      <c r="GA504">
        <v>736.4</v>
      </c>
      <c r="GE504" s="26" t="s">
        <v>1358</v>
      </c>
      <c r="HA504" s="5" t="s">
        <v>1</v>
      </c>
      <c r="HB504" s="4" t="s">
        <v>1</v>
      </c>
      <c r="HC504" t="s">
        <v>1</v>
      </c>
      <c r="HD504" t="s">
        <v>1</v>
      </c>
      <c r="HE504" t="s">
        <v>1</v>
      </c>
      <c r="HF504" s="5" t="s">
        <v>1063</v>
      </c>
      <c r="HG504" s="4">
        <v>1.8888888888888888</v>
      </c>
      <c r="HH504" s="28">
        <v>0</v>
      </c>
      <c r="HI504" s="28">
        <v>30</v>
      </c>
      <c r="HJ504" s="26" t="s">
        <v>1358</v>
      </c>
      <c r="HK504" t="s">
        <v>1</v>
      </c>
      <c r="HL504" t="s">
        <v>1</v>
      </c>
      <c r="HM504" t="s">
        <v>1</v>
      </c>
      <c r="HN504" t="s">
        <v>1</v>
      </c>
      <c r="HO504" t="s">
        <v>1</v>
      </c>
      <c r="HP504" t="s">
        <v>1</v>
      </c>
      <c r="HZ504" t="s">
        <v>966</v>
      </c>
      <c r="IA504">
        <v>48</v>
      </c>
      <c r="IB504" s="5" t="s">
        <v>1</v>
      </c>
      <c r="IC504" s="5"/>
      <c r="ID504" s="5"/>
      <c r="IE504" s="10" t="s">
        <v>1</v>
      </c>
      <c r="IF504" s="10" t="s">
        <v>1</v>
      </c>
      <c r="IG504" s="10"/>
      <c r="IH504" s="10"/>
      <c r="II504" s="10"/>
      <c r="IJ504" s="10"/>
      <c r="IK504" s="10"/>
      <c r="IL504" s="10"/>
      <c r="IM504" s="10"/>
      <c r="IN504" s="10"/>
      <c r="IO504" s="10"/>
      <c r="IP504" s="10"/>
      <c r="IQ504" s="10"/>
      <c r="IR504" s="10"/>
      <c r="IS504" t="s">
        <v>1</v>
      </c>
      <c r="IT504" t="s">
        <v>1</v>
      </c>
      <c r="IW504" t="s">
        <v>979</v>
      </c>
      <c r="IX504">
        <v>113</v>
      </c>
      <c r="IY504" t="s">
        <v>1</v>
      </c>
      <c r="IZ504" t="s">
        <v>1</v>
      </c>
      <c r="JA504" t="s">
        <v>1065</v>
      </c>
      <c r="JB504" s="3">
        <v>20</v>
      </c>
      <c r="JC504" t="s">
        <v>1</v>
      </c>
      <c r="JD504" s="4" t="s">
        <v>1</v>
      </c>
      <c r="JE504" t="s">
        <v>810</v>
      </c>
      <c r="JF504">
        <v>100</v>
      </c>
      <c r="JR504" t="s">
        <v>1066</v>
      </c>
      <c r="JS504">
        <v>117.7</v>
      </c>
      <c r="JU504" t="s">
        <v>1</v>
      </c>
      <c r="JW504" t="s">
        <v>842</v>
      </c>
      <c r="JX504">
        <v>0</v>
      </c>
      <c r="JY504">
        <v>90</v>
      </c>
      <c r="JZ504" t="s">
        <v>799</v>
      </c>
      <c r="KA504" t="s">
        <v>579</v>
      </c>
      <c r="KB504" t="s">
        <v>738</v>
      </c>
      <c r="KC504" t="s">
        <v>1</v>
      </c>
      <c r="KD504" t="s">
        <v>1</v>
      </c>
      <c r="KE504" t="s">
        <v>1</v>
      </c>
      <c r="KF504" t="s">
        <v>1</v>
      </c>
      <c r="KG504" t="s">
        <v>1</v>
      </c>
      <c r="KH504" t="s">
        <v>1</v>
      </c>
      <c r="KI504" t="s">
        <v>1</v>
      </c>
      <c r="KJ504" t="s">
        <v>1</v>
      </c>
      <c r="KK504" t="s">
        <v>1</v>
      </c>
    </row>
    <row r="505" spans="1:297" x14ac:dyDescent="0.2">
      <c r="A505">
        <v>473</v>
      </c>
      <c r="B505" t="s">
        <v>705</v>
      </c>
      <c r="C505" t="s">
        <v>581</v>
      </c>
      <c r="D505" t="s">
        <v>576</v>
      </c>
      <c r="E505">
        <v>78</v>
      </c>
      <c r="F505" t="s">
        <v>577</v>
      </c>
      <c r="G505" t="s">
        <v>1</v>
      </c>
      <c r="H505" s="26" t="s">
        <v>1420</v>
      </c>
      <c r="I505" t="s">
        <v>1</v>
      </c>
      <c r="J505" t="s">
        <v>1</v>
      </c>
      <c r="K505" t="s">
        <v>1</v>
      </c>
      <c r="L505" t="s">
        <v>1</v>
      </c>
      <c r="M505" t="s">
        <v>1</v>
      </c>
      <c r="N505" t="s">
        <v>1</v>
      </c>
      <c r="O505" t="s">
        <v>1</v>
      </c>
      <c r="P505" t="s">
        <v>1</v>
      </c>
      <c r="Q505" t="s">
        <v>1</v>
      </c>
      <c r="R505" t="s">
        <v>1</v>
      </c>
      <c r="S505" t="s">
        <v>1</v>
      </c>
      <c r="T505" t="s">
        <v>1</v>
      </c>
      <c r="U505" t="s">
        <v>1</v>
      </c>
      <c r="V505" t="s">
        <v>1</v>
      </c>
      <c r="W505" t="s">
        <v>1</v>
      </c>
      <c r="X505" t="s">
        <v>1</v>
      </c>
      <c r="Y505" t="s">
        <v>1</v>
      </c>
      <c r="Z505" t="s">
        <v>1</v>
      </c>
      <c r="AA505" t="s">
        <v>1</v>
      </c>
      <c r="AB505" t="s">
        <v>1</v>
      </c>
      <c r="AC505" t="s">
        <v>1</v>
      </c>
      <c r="AD505" t="s">
        <v>1</v>
      </c>
      <c r="AE505" t="s">
        <v>1</v>
      </c>
      <c r="AF505" t="s">
        <v>1</v>
      </c>
      <c r="AG505" t="s">
        <v>1</v>
      </c>
      <c r="AH505" t="s">
        <v>1</v>
      </c>
      <c r="AI505" t="s">
        <v>1</v>
      </c>
      <c r="AJ505" t="s">
        <v>1</v>
      </c>
      <c r="AK505" t="s">
        <v>1</v>
      </c>
      <c r="AL505" t="s">
        <v>1</v>
      </c>
      <c r="AM505" t="s">
        <v>1</v>
      </c>
      <c r="AN505">
        <v>473</v>
      </c>
      <c r="AO505">
        <f t="shared" si="59"/>
        <v>473</v>
      </c>
      <c r="AP505">
        <f t="shared" si="62"/>
        <v>78</v>
      </c>
      <c r="AQ505">
        <f t="shared" si="63"/>
        <v>78</v>
      </c>
      <c r="AR505" s="26" t="s">
        <v>1355</v>
      </c>
      <c r="AS505" s="26" t="s">
        <v>1356</v>
      </c>
      <c r="AT505" t="s">
        <v>714</v>
      </c>
      <c r="AU505" t="s">
        <v>1</v>
      </c>
      <c r="AV505" t="s">
        <v>1</v>
      </c>
      <c r="AW505">
        <v>56.48</v>
      </c>
      <c r="AX505">
        <v>13</v>
      </c>
      <c r="AY505" t="s">
        <v>737</v>
      </c>
      <c r="BA505" s="3">
        <v>1</v>
      </c>
      <c r="BB505" s="3"/>
      <c r="BC505" s="3"/>
      <c r="BD505" s="3"/>
      <c r="BE505" s="3"/>
      <c r="BF505">
        <v>1995</v>
      </c>
      <c r="BG505" s="24" t="s">
        <v>733</v>
      </c>
      <c r="BH505" s="24" t="s">
        <v>733</v>
      </c>
      <c r="BI505" s="24" t="s">
        <v>733</v>
      </c>
      <c r="BJ505" s="24" t="s">
        <v>732</v>
      </c>
      <c r="BK505" s="24" t="s">
        <v>733</v>
      </c>
      <c r="BL505" s="25" t="s">
        <v>733</v>
      </c>
      <c r="BM505" s="24" t="s">
        <v>733</v>
      </c>
      <c r="BN505" s="24" t="s">
        <v>732</v>
      </c>
      <c r="BO505" s="24" t="s">
        <v>733</v>
      </c>
      <c r="BP505" s="24" t="s">
        <v>733</v>
      </c>
      <c r="BQ505" s="24" t="s">
        <v>945</v>
      </c>
      <c r="BR505" s="24" t="s">
        <v>945</v>
      </c>
      <c r="BS505" s="25" t="s">
        <v>934</v>
      </c>
      <c r="BT505" s="24" t="s">
        <v>934</v>
      </c>
      <c r="BU505" s="24" t="s">
        <v>934</v>
      </c>
      <c r="BV505" s="24" t="s">
        <v>934</v>
      </c>
      <c r="BW505" s="24" t="s">
        <v>934</v>
      </c>
      <c r="BX505" s="24" t="s">
        <v>934</v>
      </c>
      <c r="BY505" s="25" t="s">
        <v>945</v>
      </c>
      <c r="BZ505" t="s">
        <v>788</v>
      </c>
      <c r="CB505" t="s">
        <v>1407</v>
      </c>
      <c r="CC505" s="4">
        <f>AVERAGE(5970*85%,5130*85%,33100*22%,3740*85%,3050*85%)</f>
        <v>4497.7</v>
      </c>
      <c r="CD505" s="4"/>
      <c r="CE505" s="4"/>
      <c r="CF505" t="s">
        <v>793</v>
      </c>
      <c r="CG505">
        <v>100</v>
      </c>
      <c r="CH505" t="s">
        <v>805</v>
      </c>
      <c r="CI505" s="28">
        <f>AVERAGE(1.5,1.5,0.6,1.5,1.5)</f>
        <v>1.3199999999999998</v>
      </c>
      <c r="CJ505" s="10" t="s">
        <v>1442</v>
      </c>
      <c r="CK505" s="9" t="s">
        <v>1</v>
      </c>
      <c r="CL505" s="4" t="s">
        <v>1</v>
      </c>
      <c r="CM505" t="s">
        <v>848</v>
      </c>
      <c r="CN505" s="4">
        <f>AVERAGE(108,100,73,86,50)</f>
        <v>83.4</v>
      </c>
      <c r="CO505" s="4" t="s">
        <v>1</v>
      </c>
      <c r="CP505" s="4" t="s">
        <v>1</v>
      </c>
      <c r="CQ505" s="4" t="s">
        <v>1</v>
      </c>
      <c r="CR505" s="4" t="s">
        <v>1</v>
      </c>
      <c r="CS505" s="4" t="s">
        <v>1</v>
      </c>
      <c r="CT505" s="4" t="s">
        <v>1</v>
      </c>
      <c r="CU505" s="4" t="s">
        <v>1</v>
      </c>
      <c r="CV505" t="s">
        <v>855</v>
      </c>
      <c r="CW505">
        <v>100</v>
      </c>
      <c r="CX505" s="28">
        <v>0</v>
      </c>
      <c r="CY505" s="28">
        <v>30</v>
      </c>
      <c r="CZ505" s="26" t="s">
        <v>1358</v>
      </c>
      <c r="DA505" t="s">
        <v>734</v>
      </c>
      <c r="DB505" s="28">
        <f t="shared" si="66"/>
        <v>76.237623762376231</v>
      </c>
      <c r="DC505" s="28">
        <v>0</v>
      </c>
      <c r="DD505" s="28">
        <v>30</v>
      </c>
      <c r="DE505" s="26" t="s">
        <v>1358</v>
      </c>
      <c r="DF505" t="s">
        <v>735</v>
      </c>
      <c r="DG505" s="28">
        <f t="shared" si="67"/>
        <v>13.861386138613861</v>
      </c>
      <c r="DH505" s="28">
        <v>0</v>
      </c>
      <c r="DI505" s="28">
        <v>30</v>
      </c>
      <c r="DJ505" s="26" t="s">
        <v>1358</v>
      </c>
      <c r="DK505" t="s">
        <v>736</v>
      </c>
      <c r="DL505" s="28">
        <f t="shared" si="68"/>
        <v>9.9009900990099009</v>
      </c>
      <c r="DM505" s="28">
        <v>0</v>
      </c>
      <c r="DN505" s="28">
        <v>30</v>
      </c>
      <c r="DO505" s="26" t="s">
        <v>1358</v>
      </c>
      <c r="DP505" t="s">
        <v>6</v>
      </c>
      <c r="DQ505" t="s">
        <v>1</v>
      </c>
      <c r="DR505">
        <v>6.2</v>
      </c>
      <c r="DS505" s="28">
        <v>0</v>
      </c>
      <c r="DT505" s="28">
        <v>30</v>
      </c>
      <c r="DU505" s="26" t="s">
        <v>1358</v>
      </c>
      <c r="DX505" s="28"/>
      <c r="DY505" s="28"/>
      <c r="DZ505" s="28"/>
      <c r="EA505" t="s">
        <v>982</v>
      </c>
      <c r="EB505">
        <v>29</v>
      </c>
      <c r="EC505" s="28">
        <v>0</v>
      </c>
      <c r="ED505" s="28">
        <v>30</v>
      </c>
      <c r="EE505" s="26" t="s">
        <v>1358</v>
      </c>
      <c r="EF505" s="26"/>
      <c r="EI505" s="28"/>
      <c r="EJ505" s="28"/>
      <c r="EK505" s="28"/>
      <c r="EL505" s="28"/>
      <c r="EM505" s="28"/>
      <c r="EN505" s="28"/>
      <c r="EO505" s="28"/>
      <c r="EP505" s="28"/>
      <c r="EQ505" s="28"/>
      <c r="ER505" s="28"/>
      <c r="ES505" s="28"/>
      <c r="ET505" s="28"/>
      <c r="EU505" s="28"/>
      <c r="EV505" s="28"/>
      <c r="EW505" s="28"/>
      <c r="EX505" s="28"/>
      <c r="EY505" s="28"/>
      <c r="EZ505" s="28"/>
      <c r="FA505" s="28"/>
      <c r="FB505" s="28"/>
      <c r="FC505" s="28"/>
      <c r="FD505" s="28"/>
      <c r="FE505" s="28"/>
      <c r="FF505" s="28"/>
      <c r="FG505" s="28"/>
      <c r="FH505" s="28"/>
      <c r="FI505" s="28"/>
      <c r="FJ505" s="28"/>
      <c r="FK505" s="28"/>
      <c r="FL505" s="28"/>
      <c r="FM505" s="28"/>
      <c r="FN505" s="28"/>
      <c r="FO505" s="28"/>
      <c r="FP505" s="28"/>
      <c r="FQ505" s="28"/>
      <c r="FR505" s="28"/>
      <c r="FS505" s="28"/>
      <c r="FT505" s="28"/>
      <c r="FU505" s="28"/>
      <c r="FV505" s="28"/>
      <c r="FW505" s="28"/>
      <c r="FX505" s="28"/>
      <c r="FY505" s="28"/>
      <c r="FZ505" t="s">
        <v>806</v>
      </c>
      <c r="GA505">
        <v>736.4</v>
      </c>
      <c r="GE505" s="26" t="s">
        <v>1358</v>
      </c>
      <c r="HA505" s="5" t="s">
        <v>1</v>
      </c>
      <c r="HB505" s="4" t="s">
        <v>1</v>
      </c>
      <c r="HC505" t="s">
        <v>1</v>
      </c>
      <c r="HD505" t="s">
        <v>1</v>
      </c>
      <c r="HE505" t="s">
        <v>1</v>
      </c>
      <c r="HF505" s="5" t="s">
        <v>1063</v>
      </c>
      <c r="HG505" s="4">
        <v>1.8888888888888888</v>
      </c>
      <c r="HH505" s="28">
        <v>0</v>
      </c>
      <c r="HI505" s="28">
        <v>30</v>
      </c>
      <c r="HJ505" s="26" t="s">
        <v>1358</v>
      </c>
      <c r="HK505" t="s">
        <v>1</v>
      </c>
      <c r="HL505" t="s">
        <v>1</v>
      </c>
      <c r="HM505" t="s">
        <v>1</v>
      </c>
      <c r="HN505" t="s">
        <v>1</v>
      </c>
      <c r="HO505" t="s">
        <v>1</v>
      </c>
      <c r="HP505" t="s">
        <v>1</v>
      </c>
      <c r="HZ505" t="s">
        <v>966</v>
      </c>
      <c r="IA505">
        <v>48</v>
      </c>
      <c r="IB505" s="5" t="s">
        <v>1</v>
      </c>
      <c r="IC505" s="5"/>
      <c r="ID505" s="5"/>
      <c r="IE505" s="10" t="s">
        <v>1</v>
      </c>
      <c r="IF505" s="10" t="s">
        <v>1</v>
      </c>
      <c r="IG505" s="10"/>
      <c r="IH505" s="10"/>
      <c r="II505" s="10"/>
      <c r="IJ505" s="10"/>
      <c r="IK505" s="10"/>
      <c r="IL505" s="10"/>
      <c r="IM505" s="10"/>
      <c r="IN505" s="10"/>
      <c r="IO505" s="10"/>
      <c r="IP505" s="10"/>
      <c r="IQ505" s="10"/>
      <c r="IR505" s="10"/>
      <c r="IS505" t="s">
        <v>1</v>
      </c>
      <c r="IT505" t="s">
        <v>1</v>
      </c>
      <c r="IW505" t="s">
        <v>979</v>
      </c>
      <c r="IX505">
        <v>214</v>
      </c>
      <c r="IY505" t="s">
        <v>1</v>
      </c>
      <c r="IZ505" t="s">
        <v>1</v>
      </c>
      <c r="JA505" t="s">
        <v>1065</v>
      </c>
      <c r="JB505" s="3">
        <v>20</v>
      </c>
      <c r="JC505" t="s">
        <v>1</v>
      </c>
      <c r="JD505" s="4" t="s">
        <v>1</v>
      </c>
      <c r="JE505" t="s">
        <v>810</v>
      </c>
      <c r="JF505">
        <v>100</v>
      </c>
      <c r="JR505" t="s">
        <v>1066</v>
      </c>
      <c r="JS505">
        <v>355</v>
      </c>
      <c r="JU505" t="s">
        <v>1</v>
      </c>
      <c r="JW505" t="s">
        <v>842</v>
      </c>
      <c r="JX505">
        <v>0</v>
      </c>
      <c r="JY505">
        <v>90</v>
      </c>
      <c r="JZ505" t="s">
        <v>799</v>
      </c>
      <c r="KA505" t="s">
        <v>579</v>
      </c>
      <c r="KB505" t="s">
        <v>738</v>
      </c>
      <c r="KC505" t="s">
        <v>1</v>
      </c>
      <c r="KD505" t="s">
        <v>1</v>
      </c>
      <c r="KE505" t="s">
        <v>1</v>
      </c>
      <c r="KF505" t="s">
        <v>1</v>
      </c>
      <c r="KG505" t="s">
        <v>1</v>
      </c>
      <c r="KH505" t="s">
        <v>1</v>
      </c>
      <c r="KI505" t="s">
        <v>1</v>
      </c>
      <c r="KJ505" t="s">
        <v>1</v>
      </c>
      <c r="KK505" t="s">
        <v>1</v>
      </c>
    </row>
    <row r="506" spans="1:297" x14ac:dyDescent="0.2">
      <c r="A506">
        <v>474</v>
      </c>
      <c r="B506" t="s">
        <v>705</v>
      </c>
      <c r="C506" t="s">
        <v>582</v>
      </c>
      <c r="D506" t="s">
        <v>576</v>
      </c>
      <c r="E506">
        <v>78</v>
      </c>
      <c r="F506" t="s">
        <v>577</v>
      </c>
      <c r="G506" t="s">
        <v>1</v>
      </c>
      <c r="H506" s="26" t="s">
        <v>1420</v>
      </c>
      <c r="I506" t="s">
        <v>1</v>
      </c>
      <c r="J506" t="s">
        <v>1</v>
      </c>
      <c r="K506" t="s">
        <v>1</v>
      </c>
      <c r="L506" t="s">
        <v>1</v>
      </c>
      <c r="M506" t="s">
        <v>1</v>
      </c>
      <c r="N506" t="s">
        <v>1</v>
      </c>
      <c r="O506" t="s">
        <v>1</v>
      </c>
      <c r="P506" t="s">
        <v>1</v>
      </c>
      <c r="Q506" t="s">
        <v>1</v>
      </c>
      <c r="R506" t="s">
        <v>1</v>
      </c>
      <c r="S506" t="s">
        <v>1</v>
      </c>
      <c r="T506" t="s">
        <v>1</v>
      </c>
      <c r="U506" t="s">
        <v>1</v>
      </c>
      <c r="V506" t="s">
        <v>1</v>
      </c>
      <c r="W506" t="s">
        <v>1</v>
      </c>
      <c r="X506" t="s">
        <v>1</v>
      </c>
      <c r="Y506" t="s">
        <v>1</v>
      </c>
      <c r="Z506" t="s">
        <v>1</v>
      </c>
      <c r="AA506" t="s">
        <v>1</v>
      </c>
      <c r="AB506" t="s">
        <v>1</v>
      </c>
      <c r="AC506" t="s">
        <v>1</v>
      </c>
      <c r="AD506" t="s">
        <v>1</v>
      </c>
      <c r="AE506" t="s">
        <v>1</v>
      </c>
      <c r="AF506" t="s">
        <v>1</v>
      </c>
      <c r="AG506" t="s">
        <v>1</v>
      </c>
      <c r="AH506" t="s">
        <v>1</v>
      </c>
      <c r="AI506" t="s">
        <v>1</v>
      </c>
      <c r="AJ506" t="s">
        <v>1</v>
      </c>
      <c r="AK506" t="s">
        <v>1</v>
      </c>
      <c r="AL506" t="s">
        <v>1</v>
      </c>
      <c r="AM506" t="s">
        <v>1</v>
      </c>
      <c r="AN506">
        <v>474</v>
      </c>
      <c r="AO506">
        <f t="shared" si="59"/>
        <v>474</v>
      </c>
      <c r="AP506">
        <f t="shared" si="62"/>
        <v>78</v>
      </c>
      <c r="AQ506">
        <f t="shared" si="63"/>
        <v>78</v>
      </c>
      <c r="AR506" s="26" t="s">
        <v>1355</v>
      </c>
      <c r="AS506" s="26" t="s">
        <v>1356</v>
      </c>
      <c r="AT506" t="s">
        <v>714</v>
      </c>
      <c r="AU506" t="s">
        <v>1</v>
      </c>
      <c r="AV506" t="s">
        <v>1</v>
      </c>
      <c r="AW506">
        <v>56.48</v>
      </c>
      <c r="AX506">
        <v>13</v>
      </c>
      <c r="AY506" t="s">
        <v>737</v>
      </c>
      <c r="BA506" s="3">
        <v>1</v>
      </c>
      <c r="BB506" s="3"/>
      <c r="BC506" s="3"/>
      <c r="BD506" s="3"/>
      <c r="BE506" s="3"/>
      <c r="BF506">
        <v>1995</v>
      </c>
      <c r="BG506" s="24" t="s">
        <v>733</v>
      </c>
      <c r="BH506" s="24" t="s">
        <v>733</v>
      </c>
      <c r="BI506" s="24" t="s">
        <v>733</v>
      </c>
      <c r="BJ506" s="24" t="s">
        <v>732</v>
      </c>
      <c r="BK506" s="24" t="s">
        <v>733</v>
      </c>
      <c r="BL506" s="25" t="s">
        <v>733</v>
      </c>
      <c r="BM506" s="24" t="s">
        <v>733</v>
      </c>
      <c r="BN506" s="24" t="s">
        <v>732</v>
      </c>
      <c r="BO506" s="24" t="s">
        <v>733</v>
      </c>
      <c r="BP506" s="24" t="s">
        <v>733</v>
      </c>
      <c r="BQ506" s="24" t="s">
        <v>945</v>
      </c>
      <c r="BR506" s="24" t="s">
        <v>945</v>
      </c>
      <c r="BS506" s="25" t="s">
        <v>934</v>
      </c>
      <c r="BT506" s="24" t="s">
        <v>934</v>
      </c>
      <c r="BU506" s="24" t="s">
        <v>934</v>
      </c>
      <c r="BV506" s="24" t="s">
        <v>934</v>
      </c>
      <c r="BW506" s="24" t="s">
        <v>934</v>
      </c>
      <c r="BX506" s="24" t="s">
        <v>934</v>
      </c>
      <c r="BY506" s="25" t="s">
        <v>945</v>
      </c>
      <c r="BZ506" t="s">
        <v>788</v>
      </c>
      <c r="CB506" t="s">
        <v>1407</v>
      </c>
      <c r="CC506" s="4">
        <f>AVERAGE(4970*85%,5150*85%,31800*22%,3850*85%,2460*85%)</f>
        <v>4192.3</v>
      </c>
      <c r="CD506" s="4"/>
      <c r="CE506" s="4"/>
      <c r="CF506" t="s">
        <v>793</v>
      </c>
      <c r="CG506">
        <v>100</v>
      </c>
      <c r="CH506" t="s">
        <v>805</v>
      </c>
      <c r="CI506" s="28">
        <f>AVERAGE(1.5,1.5,0.6,1.5,1.5)</f>
        <v>1.3199999999999998</v>
      </c>
      <c r="CJ506" s="10" t="s">
        <v>1442</v>
      </c>
      <c r="CK506" s="9" t="s">
        <v>1</v>
      </c>
      <c r="CL506" s="4" t="s">
        <v>1</v>
      </c>
      <c r="CM506" t="s">
        <v>848</v>
      </c>
      <c r="CN506" s="4">
        <f>AVERAGE(101,102,75,90,43)</f>
        <v>82.2</v>
      </c>
      <c r="CO506" s="4" t="s">
        <v>1</v>
      </c>
      <c r="CP506" s="4" t="s">
        <v>1</v>
      </c>
      <c r="CQ506" s="4" t="s">
        <v>1</v>
      </c>
      <c r="CR506" s="4" t="s">
        <v>1</v>
      </c>
      <c r="CS506" s="4" t="s">
        <v>1</v>
      </c>
      <c r="CT506" s="4" t="s">
        <v>1</v>
      </c>
      <c r="CU506" s="4" t="s">
        <v>1</v>
      </c>
      <c r="CV506" t="s">
        <v>855</v>
      </c>
      <c r="CW506">
        <v>100</v>
      </c>
      <c r="CX506" s="28">
        <v>0</v>
      </c>
      <c r="CY506" s="28">
        <v>30</v>
      </c>
      <c r="CZ506" s="26" t="s">
        <v>1358</v>
      </c>
      <c r="DA506" t="s">
        <v>734</v>
      </c>
      <c r="DB506" s="28">
        <f t="shared" si="66"/>
        <v>76.237623762376231</v>
      </c>
      <c r="DC506" s="28">
        <v>0</v>
      </c>
      <c r="DD506" s="28">
        <v>30</v>
      </c>
      <c r="DE506" s="26" t="s">
        <v>1358</v>
      </c>
      <c r="DF506" t="s">
        <v>735</v>
      </c>
      <c r="DG506" s="28">
        <f t="shared" si="67"/>
        <v>13.861386138613861</v>
      </c>
      <c r="DH506" s="28">
        <v>0</v>
      </c>
      <c r="DI506" s="28">
        <v>30</v>
      </c>
      <c r="DJ506" s="26" t="s">
        <v>1358</v>
      </c>
      <c r="DK506" t="s">
        <v>736</v>
      </c>
      <c r="DL506" s="28">
        <f t="shared" si="68"/>
        <v>9.9009900990099009</v>
      </c>
      <c r="DM506" s="28">
        <v>0</v>
      </c>
      <c r="DN506" s="28">
        <v>30</v>
      </c>
      <c r="DO506" s="26" t="s">
        <v>1358</v>
      </c>
      <c r="DP506" t="s">
        <v>6</v>
      </c>
      <c r="DQ506" t="s">
        <v>1</v>
      </c>
      <c r="DR506">
        <v>6.2</v>
      </c>
      <c r="DS506" s="28">
        <v>0</v>
      </c>
      <c r="DT506" s="28">
        <v>30</v>
      </c>
      <c r="DU506" s="26" t="s">
        <v>1358</v>
      </c>
      <c r="DX506" s="28"/>
      <c r="DY506" s="28"/>
      <c r="DZ506" s="28"/>
      <c r="EA506" t="s">
        <v>982</v>
      </c>
      <c r="EB506">
        <v>29</v>
      </c>
      <c r="EC506" s="28">
        <v>0</v>
      </c>
      <c r="ED506" s="28">
        <v>30</v>
      </c>
      <c r="EE506" s="26" t="s">
        <v>1358</v>
      </c>
      <c r="EF506" s="26"/>
      <c r="EI506" s="28"/>
      <c r="EJ506" s="28"/>
      <c r="EK506" s="28"/>
      <c r="EL506" s="28"/>
      <c r="EM506" s="28"/>
      <c r="EN506" s="28"/>
      <c r="EO506" s="28"/>
      <c r="EP506" s="28"/>
      <c r="EQ506" s="28"/>
      <c r="ER506" s="28"/>
      <c r="ES506" s="28"/>
      <c r="ET506" s="28"/>
      <c r="EU506" s="28"/>
      <c r="EV506" s="28"/>
      <c r="EW506" s="28"/>
      <c r="EX506" s="28"/>
      <c r="EY506" s="28"/>
      <c r="EZ506" s="28"/>
      <c r="FA506" s="28"/>
      <c r="FB506" s="28"/>
      <c r="FC506" s="28"/>
      <c r="FD506" s="28"/>
      <c r="FE506" s="28"/>
      <c r="FF506" s="28"/>
      <c r="FG506" s="28"/>
      <c r="FH506" s="28"/>
      <c r="FI506" s="28"/>
      <c r="FJ506" s="28"/>
      <c r="FK506" s="28"/>
      <c r="FL506" s="28"/>
      <c r="FM506" s="28"/>
      <c r="FN506" s="28"/>
      <c r="FO506" s="28"/>
      <c r="FP506" s="28"/>
      <c r="FQ506" s="28"/>
      <c r="FR506" s="28"/>
      <c r="FS506" s="28"/>
      <c r="FT506" s="28"/>
      <c r="FU506" s="28"/>
      <c r="FV506" s="28"/>
      <c r="FW506" s="28"/>
      <c r="FX506" s="28"/>
      <c r="FY506" s="28"/>
      <c r="FZ506" t="s">
        <v>806</v>
      </c>
      <c r="GA506">
        <v>736.4</v>
      </c>
      <c r="GE506" s="26" t="s">
        <v>1358</v>
      </c>
      <c r="HA506" s="5" t="s">
        <v>1</v>
      </c>
      <c r="HB506" s="4" t="s">
        <v>1</v>
      </c>
      <c r="HC506" t="s">
        <v>1</v>
      </c>
      <c r="HD506" t="s">
        <v>1</v>
      </c>
      <c r="HE506" t="s">
        <v>1</v>
      </c>
      <c r="HF506" s="5" t="s">
        <v>1063</v>
      </c>
      <c r="HG506" s="4">
        <v>1.8888888888888888</v>
      </c>
      <c r="HH506" s="28">
        <v>0</v>
      </c>
      <c r="HI506" s="28">
        <v>30</v>
      </c>
      <c r="HJ506" s="26" t="s">
        <v>1358</v>
      </c>
      <c r="HK506" t="s">
        <v>1</v>
      </c>
      <c r="HL506" t="s">
        <v>1</v>
      </c>
      <c r="HM506" t="s">
        <v>1</v>
      </c>
      <c r="HN506" t="s">
        <v>1</v>
      </c>
      <c r="HO506" t="s">
        <v>1</v>
      </c>
      <c r="HP506" t="s">
        <v>1</v>
      </c>
      <c r="HZ506" t="s">
        <v>966</v>
      </c>
      <c r="IA506">
        <v>48</v>
      </c>
      <c r="IB506" s="5" t="s">
        <v>1</v>
      </c>
      <c r="IC506" s="5"/>
      <c r="ID506" s="5"/>
      <c r="IE506" s="10" t="s">
        <v>1</v>
      </c>
      <c r="IF506" s="10" t="s">
        <v>1</v>
      </c>
      <c r="IG506" s="10"/>
      <c r="IH506" s="10"/>
      <c r="II506" s="10"/>
      <c r="IJ506" s="10"/>
      <c r="IK506" s="10"/>
      <c r="IL506" s="10"/>
      <c r="IM506" s="10"/>
      <c r="IN506" s="10"/>
      <c r="IO506" s="10"/>
      <c r="IP506" s="10"/>
      <c r="IQ506" s="10"/>
      <c r="IR506" s="10"/>
      <c r="IS506" t="s">
        <v>1</v>
      </c>
      <c r="IT506" t="s">
        <v>1</v>
      </c>
      <c r="IW506" t="s">
        <v>979</v>
      </c>
      <c r="IX506">
        <v>214</v>
      </c>
      <c r="IY506" t="s">
        <v>1</v>
      </c>
      <c r="IZ506" t="s">
        <v>1</v>
      </c>
      <c r="JA506" t="s">
        <v>1065</v>
      </c>
      <c r="JB506" s="3">
        <v>20</v>
      </c>
      <c r="JC506" t="s">
        <v>1</v>
      </c>
      <c r="JD506" s="4" t="s">
        <v>1</v>
      </c>
      <c r="JE506" t="s">
        <v>810</v>
      </c>
      <c r="JF506">
        <v>100</v>
      </c>
      <c r="JR506" t="s">
        <v>1066</v>
      </c>
      <c r="JS506">
        <v>245.2</v>
      </c>
      <c r="JU506" t="s">
        <v>1</v>
      </c>
      <c r="JW506" t="s">
        <v>842</v>
      </c>
      <c r="JX506">
        <v>0</v>
      </c>
      <c r="JY506">
        <v>90</v>
      </c>
      <c r="JZ506" t="s">
        <v>799</v>
      </c>
      <c r="KA506" t="s">
        <v>579</v>
      </c>
      <c r="KB506" t="s">
        <v>738</v>
      </c>
      <c r="KC506" t="s">
        <v>1</v>
      </c>
      <c r="KD506" t="s">
        <v>1</v>
      </c>
      <c r="KE506" t="s">
        <v>1</v>
      </c>
      <c r="KF506" t="s">
        <v>1</v>
      </c>
      <c r="KG506" t="s">
        <v>1</v>
      </c>
      <c r="KH506" t="s">
        <v>1</v>
      </c>
      <c r="KI506" t="s">
        <v>1</v>
      </c>
      <c r="KJ506" t="s">
        <v>1</v>
      </c>
      <c r="KK506" t="s">
        <v>1</v>
      </c>
    </row>
    <row r="507" spans="1:297" x14ac:dyDescent="0.2">
      <c r="A507">
        <v>475</v>
      </c>
      <c r="B507" t="s">
        <v>705</v>
      </c>
      <c r="C507" t="s">
        <v>584</v>
      </c>
      <c r="D507" t="s">
        <v>583</v>
      </c>
      <c r="E507">
        <v>79</v>
      </c>
      <c r="F507" t="s">
        <v>704</v>
      </c>
      <c r="G507" t="s">
        <v>1</v>
      </c>
      <c r="H507" s="26" t="s">
        <v>1420</v>
      </c>
      <c r="I507" t="s">
        <v>1</v>
      </c>
      <c r="J507" t="s">
        <v>1</v>
      </c>
      <c r="K507" t="s">
        <v>1</v>
      </c>
      <c r="L507" t="s">
        <v>1</v>
      </c>
      <c r="M507" t="s">
        <v>1</v>
      </c>
      <c r="N507" t="s">
        <v>1</v>
      </c>
      <c r="O507" t="s">
        <v>1</v>
      </c>
      <c r="P507" t="s">
        <v>1</v>
      </c>
      <c r="Q507" t="s">
        <v>1</v>
      </c>
      <c r="R507" t="s">
        <v>1</v>
      </c>
      <c r="S507" t="s">
        <v>1</v>
      </c>
      <c r="T507" t="s">
        <v>1</v>
      </c>
      <c r="U507" t="s">
        <v>1</v>
      </c>
      <c r="V507" t="s">
        <v>1</v>
      </c>
      <c r="W507" t="s">
        <v>1</v>
      </c>
      <c r="X507" t="s">
        <v>1</v>
      </c>
      <c r="Y507" t="s">
        <v>1</v>
      </c>
      <c r="Z507" t="s">
        <v>1</v>
      </c>
      <c r="AA507" t="s">
        <v>1</v>
      </c>
      <c r="AB507" t="s">
        <v>1</v>
      </c>
      <c r="AC507" t="s">
        <v>1</v>
      </c>
      <c r="AD507" t="s">
        <v>1</v>
      </c>
      <c r="AE507" t="s">
        <v>1</v>
      </c>
      <c r="AF507" t="s">
        <v>1</v>
      </c>
      <c r="AG507" t="s">
        <v>1</v>
      </c>
      <c r="AH507" t="s">
        <v>1</v>
      </c>
      <c r="AI507" t="s">
        <v>1</v>
      </c>
      <c r="AJ507" t="s">
        <v>1</v>
      </c>
      <c r="AK507" t="s">
        <v>1</v>
      </c>
      <c r="AL507" t="s">
        <v>1</v>
      </c>
      <c r="AM507" t="s">
        <v>1</v>
      </c>
      <c r="AN507">
        <v>475</v>
      </c>
      <c r="AO507">
        <f t="shared" si="59"/>
        <v>475</v>
      </c>
      <c r="AP507">
        <f t="shared" si="62"/>
        <v>79</v>
      </c>
      <c r="AQ507">
        <f t="shared" si="63"/>
        <v>79</v>
      </c>
      <c r="AR507" s="26" t="s">
        <v>1355</v>
      </c>
      <c r="AS507" s="26" t="s">
        <v>1356</v>
      </c>
      <c r="AT507" t="s">
        <v>730</v>
      </c>
      <c r="AU507" t="s">
        <v>1</v>
      </c>
      <c r="AV507" t="s">
        <v>1</v>
      </c>
      <c r="AW507">
        <v>59.67</v>
      </c>
      <c r="AX507">
        <v>10.77</v>
      </c>
      <c r="AY507" t="s">
        <v>737</v>
      </c>
      <c r="BA507" s="3">
        <v>2</v>
      </c>
      <c r="BB507" s="3"/>
      <c r="BC507" s="3"/>
      <c r="BD507" s="3"/>
      <c r="BE507" s="3"/>
      <c r="BF507">
        <v>1992</v>
      </c>
      <c r="BG507" s="24" t="s">
        <v>733</v>
      </c>
      <c r="BH507" s="24" t="s">
        <v>733</v>
      </c>
      <c r="BI507" s="24" t="s">
        <v>733</v>
      </c>
      <c r="BJ507" s="24" t="s">
        <v>732</v>
      </c>
      <c r="BK507" s="24" t="s">
        <v>733</v>
      </c>
      <c r="BL507" s="25" t="s">
        <v>733</v>
      </c>
      <c r="BM507" s="24" t="s">
        <v>733</v>
      </c>
      <c r="BN507" s="24" t="s">
        <v>732</v>
      </c>
      <c r="BO507" s="24" t="s">
        <v>733</v>
      </c>
      <c r="BP507" s="24" t="s">
        <v>733</v>
      </c>
      <c r="BQ507" s="24" t="s">
        <v>945</v>
      </c>
      <c r="BR507" s="24" t="s">
        <v>945</v>
      </c>
      <c r="BS507" s="25" t="s">
        <v>934</v>
      </c>
      <c r="BT507" s="24" t="s">
        <v>934</v>
      </c>
      <c r="BU507" s="24" t="s">
        <v>934</v>
      </c>
      <c r="BV507" s="24" t="s">
        <v>934</v>
      </c>
      <c r="BW507" s="24" t="s">
        <v>934</v>
      </c>
      <c r="BX507" s="24" t="s">
        <v>934</v>
      </c>
      <c r="BY507" s="25" t="s">
        <v>945</v>
      </c>
      <c r="BZ507" t="s">
        <v>1397</v>
      </c>
      <c r="CB507" t="s">
        <v>1408</v>
      </c>
      <c r="CC507" s="4">
        <f>SUM(251*4,244*3)/7*10*92%</f>
        <v>2281.6</v>
      </c>
      <c r="CD507" s="4"/>
      <c r="CE507" s="4"/>
      <c r="CF507" t="s">
        <v>793</v>
      </c>
      <c r="CG507">
        <v>100</v>
      </c>
      <c r="CH507" t="s">
        <v>805</v>
      </c>
      <c r="CI507" s="28">
        <f>AVERAGE(1,1.15,1.15,1.15,1.15,1.15,1.15,1)</f>
        <v>1.1125</v>
      </c>
      <c r="CJ507" s="10" t="s">
        <v>1442</v>
      </c>
      <c r="CK507" s="9" t="s">
        <v>1</v>
      </c>
      <c r="CL507" s="4" t="s">
        <v>1</v>
      </c>
      <c r="CM507" t="s">
        <v>847</v>
      </c>
      <c r="CN507" s="4">
        <f>5.9*10</f>
        <v>59</v>
      </c>
      <c r="CO507" s="4" t="s">
        <v>1</v>
      </c>
      <c r="CP507" s="4" t="s">
        <v>1</v>
      </c>
      <c r="CQ507" s="4" t="s">
        <v>1</v>
      </c>
      <c r="CR507" s="4" t="s">
        <v>1</v>
      </c>
      <c r="CS507" s="4" t="s">
        <v>1</v>
      </c>
      <c r="CT507" s="4" t="s">
        <v>1</v>
      </c>
      <c r="CU507" s="4" t="s">
        <v>1</v>
      </c>
      <c r="CV507" t="s">
        <v>851</v>
      </c>
      <c r="CW507">
        <v>100</v>
      </c>
      <c r="CX507" t="s">
        <v>1</v>
      </c>
      <c r="CY507" t="s">
        <v>1</v>
      </c>
      <c r="CZ507" s="26" t="s">
        <v>1358</v>
      </c>
      <c r="DA507" t="s">
        <v>734</v>
      </c>
      <c r="DB507">
        <v>30</v>
      </c>
      <c r="DC507" t="s">
        <v>1</v>
      </c>
      <c r="DD507" t="s">
        <v>1</v>
      </c>
      <c r="DE507" s="26" t="s">
        <v>1358</v>
      </c>
      <c r="DF507" t="s">
        <v>735</v>
      </c>
      <c r="DG507">
        <v>47.5</v>
      </c>
      <c r="DH507" t="s">
        <v>1</v>
      </c>
      <c r="DI507" t="s">
        <v>1</v>
      </c>
      <c r="DJ507" s="26" t="s">
        <v>1358</v>
      </c>
      <c r="DK507" t="s">
        <v>736</v>
      </c>
      <c r="DL507">
        <v>22.5</v>
      </c>
      <c r="DM507" t="s">
        <v>1</v>
      </c>
      <c r="DN507" t="s">
        <v>1</v>
      </c>
      <c r="DO507" s="26" t="s">
        <v>1358</v>
      </c>
      <c r="DP507" t="s">
        <v>1</v>
      </c>
      <c r="DQ507" t="s">
        <v>1</v>
      </c>
      <c r="DR507" t="s">
        <v>1</v>
      </c>
      <c r="DS507" t="s">
        <v>1</v>
      </c>
      <c r="DT507" t="s">
        <v>1</v>
      </c>
      <c r="DU507" t="s">
        <v>1</v>
      </c>
      <c r="EA507" t="s">
        <v>982</v>
      </c>
      <c r="EB507">
        <v>24</v>
      </c>
      <c r="EC507" s="39">
        <v>0</v>
      </c>
      <c r="ED507" s="39">
        <v>30</v>
      </c>
      <c r="EE507" s="26" t="s">
        <v>1358</v>
      </c>
      <c r="EF507" t="s">
        <v>1464</v>
      </c>
      <c r="FZ507" t="s">
        <v>806</v>
      </c>
      <c r="GA507">
        <v>865</v>
      </c>
      <c r="GE507" s="26" t="s">
        <v>1358</v>
      </c>
      <c r="HA507" s="5" t="s">
        <v>1</v>
      </c>
      <c r="HB507" s="4" t="s">
        <v>1</v>
      </c>
      <c r="HC507" t="s">
        <v>1</v>
      </c>
      <c r="HD507" t="s">
        <v>1</v>
      </c>
      <c r="HE507" t="s">
        <v>1</v>
      </c>
      <c r="HF507" s="5" t="s">
        <v>1063</v>
      </c>
      <c r="HG507" s="4">
        <v>2.1</v>
      </c>
      <c r="HH507" t="s">
        <v>1</v>
      </c>
      <c r="HI507" t="s">
        <v>1</v>
      </c>
      <c r="HJ507" s="26" t="s">
        <v>1358</v>
      </c>
      <c r="HK507" t="s">
        <v>1</v>
      </c>
      <c r="HL507" t="s">
        <v>1</v>
      </c>
      <c r="HM507" t="s">
        <v>1</v>
      </c>
      <c r="HN507" t="s">
        <v>1</v>
      </c>
      <c r="HO507" t="s">
        <v>1</v>
      </c>
      <c r="HP507" t="s">
        <v>1</v>
      </c>
      <c r="HZ507" t="s">
        <v>1</v>
      </c>
      <c r="IA507" t="s">
        <v>1</v>
      </c>
      <c r="IB507" s="10" t="s">
        <v>1</v>
      </c>
      <c r="IC507" s="10"/>
      <c r="ID507" s="10"/>
      <c r="IE507" s="10" t="s">
        <v>1</v>
      </c>
      <c r="IF507" s="10" t="s">
        <v>1</v>
      </c>
      <c r="IG507" s="10"/>
      <c r="IH507" s="10"/>
      <c r="II507" s="10"/>
      <c r="IJ507" s="10"/>
      <c r="IK507" s="10"/>
      <c r="IL507" s="10"/>
      <c r="IM507" s="10"/>
      <c r="IN507" s="10"/>
      <c r="IO507" s="10"/>
      <c r="IP507" s="10"/>
      <c r="IQ507" s="10"/>
      <c r="IR507" s="10"/>
      <c r="IS507" t="s">
        <v>1</v>
      </c>
      <c r="IT507" t="s">
        <v>1</v>
      </c>
      <c r="IW507" t="s">
        <v>1</v>
      </c>
      <c r="IX507" t="s">
        <v>1</v>
      </c>
      <c r="IY507" t="s">
        <v>808</v>
      </c>
      <c r="IZ507">
        <v>350</v>
      </c>
      <c r="JA507" t="s">
        <v>1065</v>
      </c>
      <c r="JB507" s="3">
        <v>10</v>
      </c>
      <c r="JC507" t="s">
        <v>1</v>
      </c>
      <c r="JD507" s="4" t="s">
        <v>1</v>
      </c>
      <c r="JE507" t="s">
        <v>1</v>
      </c>
      <c r="JF507" t="s">
        <v>1</v>
      </c>
      <c r="JR507" t="s">
        <v>1066</v>
      </c>
      <c r="JS507">
        <v>168.2</v>
      </c>
      <c r="JU507" t="s">
        <v>1</v>
      </c>
      <c r="JW507" t="s">
        <v>1</v>
      </c>
      <c r="JX507">
        <v>0</v>
      </c>
      <c r="JY507">
        <v>110.00000000000001</v>
      </c>
      <c r="JZ507" t="s">
        <v>796</v>
      </c>
      <c r="KA507" t="s">
        <v>585</v>
      </c>
      <c r="KB507" t="s">
        <v>738</v>
      </c>
      <c r="KC507" t="s">
        <v>1</v>
      </c>
      <c r="KD507" t="s">
        <v>1</v>
      </c>
      <c r="KE507" t="s">
        <v>1</v>
      </c>
      <c r="KF507" t="s">
        <v>1</v>
      </c>
      <c r="KG507" t="s">
        <v>1</v>
      </c>
      <c r="KH507" t="s">
        <v>1</v>
      </c>
      <c r="KI507" t="s">
        <v>1</v>
      </c>
      <c r="KJ507" t="s">
        <v>1</v>
      </c>
      <c r="KK507" t="s">
        <v>1</v>
      </c>
    </row>
    <row r="508" spans="1:297" x14ac:dyDescent="0.2">
      <c r="A508">
        <v>476</v>
      </c>
      <c r="B508" t="s">
        <v>705</v>
      </c>
      <c r="C508" t="s">
        <v>586</v>
      </c>
      <c r="D508" t="s">
        <v>583</v>
      </c>
      <c r="E508">
        <v>79</v>
      </c>
      <c r="F508" t="s">
        <v>704</v>
      </c>
      <c r="G508" t="s">
        <v>1</v>
      </c>
      <c r="H508" s="26" t="s">
        <v>1420</v>
      </c>
      <c r="I508" t="s">
        <v>1</v>
      </c>
      <c r="J508" t="s">
        <v>1</v>
      </c>
      <c r="K508" t="s">
        <v>1</v>
      </c>
      <c r="L508" t="s">
        <v>1</v>
      </c>
      <c r="M508" t="s">
        <v>1</v>
      </c>
      <c r="N508" t="s">
        <v>1</v>
      </c>
      <c r="O508" t="s">
        <v>1</v>
      </c>
      <c r="P508" t="s">
        <v>1</v>
      </c>
      <c r="Q508" t="s">
        <v>1</v>
      </c>
      <c r="R508" t="s">
        <v>1</v>
      </c>
      <c r="S508" t="s">
        <v>1</v>
      </c>
      <c r="T508" t="s">
        <v>1</v>
      </c>
      <c r="U508" t="s">
        <v>1</v>
      </c>
      <c r="V508" t="s">
        <v>1</v>
      </c>
      <c r="W508" t="s">
        <v>1</v>
      </c>
      <c r="X508" t="s">
        <v>1</v>
      </c>
      <c r="Y508" t="s">
        <v>1</v>
      </c>
      <c r="Z508" t="s">
        <v>1</v>
      </c>
      <c r="AA508" t="s">
        <v>1</v>
      </c>
      <c r="AB508" t="s">
        <v>1</v>
      </c>
      <c r="AC508" t="s">
        <v>1</v>
      </c>
      <c r="AD508" t="s">
        <v>1</v>
      </c>
      <c r="AE508" t="s">
        <v>1</v>
      </c>
      <c r="AF508" t="s">
        <v>1</v>
      </c>
      <c r="AG508" t="s">
        <v>1</v>
      </c>
      <c r="AH508" t="s">
        <v>1</v>
      </c>
      <c r="AI508" t="s">
        <v>1</v>
      </c>
      <c r="AJ508" t="s">
        <v>1</v>
      </c>
      <c r="AK508" t="s">
        <v>1</v>
      </c>
      <c r="AL508" t="s">
        <v>1</v>
      </c>
      <c r="AM508" t="s">
        <v>1</v>
      </c>
      <c r="AN508">
        <v>476</v>
      </c>
      <c r="AO508">
        <f t="shared" ref="AO508:AO571" si="69">AN508</f>
        <v>476</v>
      </c>
      <c r="AP508">
        <f t="shared" si="62"/>
        <v>79</v>
      </c>
      <c r="AQ508">
        <f t="shared" si="63"/>
        <v>79</v>
      </c>
      <c r="AR508" s="26" t="s">
        <v>1355</v>
      </c>
      <c r="AS508" s="26" t="s">
        <v>1356</v>
      </c>
      <c r="AT508" t="s">
        <v>730</v>
      </c>
      <c r="AU508" t="s">
        <v>1</v>
      </c>
      <c r="AV508" t="s">
        <v>1</v>
      </c>
      <c r="AW508">
        <v>59.67</v>
      </c>
      <c r="AX508">
        <v>10.77</v>
      </c>
      <c r="AY508" t="s">
        <v>737</v>
      </c>
      <c r="BA508" s="3">
        <v>2</v>
      </c>
      <c r="BB508" s="3"/>
      <c r="BC508" s="3"/>
      <c r="BD508" s="3"/>
      <c r="BE508" s="3"/>
      <c r="BF508">
        <v>1992</v>
      </c>
      <c r="BG508" s="24" t="s">
        <v>733</v>
      </c>
      <c r="BH508" s="24" t="s">
        <v>733</v>
      </c>
      <c r="BI508" s="24" t="s">
        <v>733</v>
      </c>
      <c r="BJ508" s="24" t="s">
        <v>732</v>
      </c>
      <c r="BK508" s="24" t="s">
        <v>733</v>
      </c>
      <c r="BL508" s="25" t="s">
        <v>733</v>
      </c>
      <c r="BM508" s="24" t="s">
        <v>733</v>
      </c>
      <c r="BN508" s="24" t="s">
        <v>732</v>
      </c>
      <c r="BO508" s="24" t="s">
        <v>733</v>
      </c>
      <c r="BP508" s="24" t="s">
        <v>733</v>
      </c>
      <c r="BQ508" s="24" t="s">
        <v>945</v>
      </c>
      <c r="BR508" s="24" t="s">
        <v>945</v>
      </c>
      <c r="BS508" s="25" t="s">
        <v>934</v>
      </c>
      <c r="BT508" s="24" t="s">
        <v>934</v>
      </c>
      <c r="BU508" s="24" t="s">
        <v>934</v>
      </c>
      <c r="BV508" s="24" t="s">
        <v>934</v>
      </c>
      <c r="BW508" s="24" t="s">
        <v>934</v>
      </c>
      <c r="BX508" s="24" t="s">
        <v>934</v>
      </c>
      <c r="BY508" s="25" t="s">
        <v>945</v>
      </c>
      <c r="BZ508" t="s">
        <v>1397</v>
      </c>
      <c r="CB508" t="s">
        <v>1408</v>
      </c>
      <c r="CC508" s="4">
        <f>SUM(357*4,485*3)/7*10*92%</f>
        <v>3789.0857142857144</v>
      </c>
      <c r="CD508" s="4"/>
      <c r="CE508" s="4"/>
      <c r="CF508" t="s">
        <v>793</v>
      </c>
      <c r="CG508">
        <v>100</v>
      </c>
      <c r="CH508" t="s">
        <v>805</v>
      </c>
      <c r="CI508" s="28">
        <f t="shared" ref="CI508:CI516" si="70">AVERAGE(1,1.15,1.15,1.15,1.15,1.15,1.15,1)</f>
        <v>1.1125</v>
      </c>
      <c r="CJ508" s="10" t="s">
        <v>1442</v>
      </c>
      <c r="CK508" s="9" t="s">
        <v>1</v>
      </c>
      <c r="CL508" s="4" t="s">
        <v>1</v>
      </c>
      <c r="CM508" t="s">
        <v>847</v>
      </c>
      <c r="CN508" s="4">
        <f>9.4*10</f>
        <v>94</v>
      </c>
      <c r="CO508" s="4" t="s">
        <v>1</v>
      </c>
      <c r="CP508" s="4" t="s">
        <v>1</v>
      </c>
      <c r="CQ508" s="4" t="s">
        <v>1</v>
      </c>
      <c r="CR508" s="4" t="s">
        <v>1</v>
      </c>
      <c r="CS508" s="4" t="s">
        <v>1</v>
      </c>
      <c r="CT508" s="4" t="s">
        <v>1</v>
      </c>
      <c r="CU508" s="4" t="s">
        <v>1</v>
      </c>
      <c r="CV508" t="s">
        <v>851</v>
      </c>
      <c r="CW508">
        <v>100</v>
      </c>
      <c r="CX508" t="s">
        <v>1</v>
      </c>
      <c r="CY508" t="s">
        <v>1</v>
      </c>
      <c r="CZ508" s="26" t="s">
        <v>1358</v>
      </c>
      <c r="DA508" t="s">
        <v>734</v>
      </c>
      <c r="DB508">
        <v>30</v>
      </c>
      <c r="DC508" t="s">
        <v>1</v>
      </c>
      <c r="DD508" t="s">
        <v>1</v>
      </c>
      <c r="DE508" s="26" t="s">
        <v>1358</v>
      </c>
      <c r="DF508" t="s">
        <v>735</v>
      </c>
      <c r="DG508">
        <v>47.5</v>
      </c>
      <c r="DH508" t="s">
        <v>1</v>
      </c>
      <c r="DI508" t="s">
        <v>1</v>
      </c>
      <c r="DJ508" s="26" t="s">
        <v>1358</v>
      </c>
      <c r="DK508" t="s">
        <v>736</v>
      </c>
      <c r="DL508">
        <v>22.5</v>
      </c>
      <c r="DM508" t="s">
        <v>1</v>
      </c>
      <c r="DN508" t="s">
        <v>1</v>
      </c>
      <c r="DO508" s="26" t="s">
        <v>1358</v>
      </c>
      <c r="DP508" t="s">
        <v>1</v>
      </c>
      <c r="DQ508" t="s">
        <v>1</v>
      </c>
      <c r="DR508" t="s">
        <v>1</v>
      </c>
      <c r="DS508" t="s">
        <v>1</v>
      </c>
      <c r="DT508" t="s">
        <v>1</v>
      </c>
      <c r="DU508" t="s">
        <v>1</v>
      </c>
      <c r="EA508" t="s">
        <v>982</v>
      </c>
      <c r="EB508">
        <v>24</v>
      </c>
      <c r="EC508" s="39">
        <v>0</v>
      </c>
      <c r="ED508" s="39">
        <v>30</v>
      </c>
      <c r="EE508" s="26" t="s">
        <v>1358</v>
      </c>
      <c r="EF508" t="s">
        <v>1464</v>
      </c>
      <c r="FZ508" t="s">
        <v>806</v>
      </c>
      <c r="GA508">
        <v>865</v>
      </c>
      <c r="GE508" s="26" t="s">
        <v>1358</v>
      </c>
      <c r="HA508" s="5" t="s">
        <v>1</v>
      </c>
      <c r="HB508" s="4" t="s">
        <v>1</v>
      </c>
      <c r="HC508" t="s">
        <v>1</v>
      </c>
      <c r="HD508" t="s">
        <v>1</v>
      </c>
      <c r="HE508" t="s">
        <v>1</v>
      </c>
      <c r="HF508" s="5" t="s">
        <v>1063</v>
      </c>
      <c r="HG508" s="4">
        <v>2.1</v>
      </c>
      <c r="HH508" t="s">
        <v>1</v>
      </c>
      <c r="HI508" t="s">
        <v>1</v>
      </c>
      <c r="HJ508" s="26" t="s">
        <v>1358</v>
      </c>
      <c r="HK508" t="s">
        <v>1</v>
      </c>
      <c r="HL508" t="s">
        <v>1</v>
      </c>
      <c r="HM508" t="s">
        <v>1</v>
      </c>
      <c r="HN508" t="s">
        <v>1</v>
      </c>
      <c r="HO508" t="s">
        <v>1</v>
      </c>
      <c r="HP508" t="s">
        <v>1</v>
      </c>
      <c r="HZ508" t="s">
        <v>966</v>
      </c>
      <c r="IA508">
        <v>68</v>
      </c>
      <c r="IB508" s="5" t="s">
        <v>1</v>
      </c>
      <c r="IC508" s="5"/>
      <c r="ID508" s="5"/>
      <c r="IE508" s="10" t="s">
        <v>1</v>
      </c>
      <c r="IF508" s="10" t="s">
        <v>1</v>
      </c>
      <c r="IG508" s="10"/>
      <c r="IH508" s="10"/>
      <c r="II508" s="10"/>
      <c r="IJ508" s="10"/>
      <c r="IK508" s="10"/>
      <c r="IL508" s="10"/>
      <c r="IM508" s="10"/>
      <c r="IN508" s="10"/>
      <c r="IO508" s="10"/>
      <c r="IP508" s="10"/>
      <c r="IQ508" s="10"/>
      <c r="IR508" s="10"/>
      <c r="IS508" t="s">
        <v>1</v>
      </c>
      <c r="IT508" t="s">
        <v>1</v>
      </c>
      <c r="IW508" t="s">
        <v>1</v>
      </c>
      <c r="IX508" t="s">
        <v>1</v>
      </c>
      <c r="IY508" t="s">
        <v>808</v>
      </c>
      <c r="IZ508">
        <v>350</v>
      </c>
      <c r="JA508" t="s">
        <v>1065</v>
      </c>
      <c r="JB508" s="3">
        <v>10</v>
      </c>
      <c r="JC508" t="s">
        <v>1</v>
      </c>
      <c r="JD508" s="4" t="s">
        <v>1</v>
      </c>
      <c r="JE508" t="s">
        <v>1</v>
      </c>
      <c r="JF508" t="s">
        <v>1</v>
      </c>
      <c r="JR508" t="s">
        <v>1066</v>
      </c>
      <c r="JS508">
        <v>190.3</v>
      </c>
      <c r="JU508" t="s">
        <v>1</v>
      </c>
      <c r="JW508" t="s">
        <v>1</v>
      </c>
      <c r="JX508">
        <v>0</v>
      </c>
      <c r="JY508">
        <v>110.00000000000001</v>
      </c>
      <c r="JZ508" t="s">
        <v>796</v>
      </c>
      <c r="KA508" t="s">
        <v>585</v>
      </c>
      <c r="KB508" t="s">
        <v>738</v>
      </c>
      <c r="KC508" t="s">
        <v>1</v>
      </c>
      <c r="KD508" t="s">
        <v>1</v>
      </c>
      <c r="KE508" t="s">
        <v>1</v>
      </c>
      <c r="KF508" t="s">
        <v>1</v>
      </c>
      <c r="KG508" t="s">
        <v>1</v>
      </c>
      <c r="KH508" t="s">
        <v>1</v>
      </c>
      <c r="KI508" t="s">
        <v>1</v>
      </c>
      <c r="KJ508" t="s">
        <v>1</v>
      </c>
      <c r="KK508" t="s">
        <v>1</v>
      </c>
    </row>
    <row r="509" spans="1:297" x14ac:dyDescent="0.2">
      <c r="A509">
        <v>477</v>
      </c>
      <c r="B509" t="s">
        <v>705</v>
      </c>
      <c r="C509" t="s">
        <v>587</v>
      </c>
      <c r="D509" t="s">
        <v>583</v>
      </c>
      <c r="E509">
        <v>79</v>
      </c>
      <c r="F509" t="s">
        <v>704</v>
      </c>
      <c r="G509" t="s">
        <v>1</v>
      </c>
      <c r="H509" s="26" t="s">
        <v>1420</v>
      </c>
      <c r="I509" t="s">
        <v>1</v>
      </c>
      <c r="J509" t="s">
        <v>1</v>
      </c>
      <c r="K509" t="s">
        <v>1</v>
      </c>
      <c r="L509" t="s">
        <v>1</v>
      </c>
      <c r="M509" t="s">
        <v>1</v>
      </c>
      <c r="N509" t="s">
        <v>1</v>
      </c>
      <c r="O509" t="s">
        <v>1</v>
      </c>
      <c r="P509" t="s">
        <v>1</v>
      </c>
      <c r="Q509" t="s">
        <v>1</v>
      </c>
      <c r="R509" t="s">
        <v>1</v>
      </c>
      <c r="S509" t="s">
        <v>1</v>
      </c>
      <c r="T509" t="s">
        <v>1</v>
      </c>
      <c r="U509" t="s">
        <v>1</v>
      </c>
      <c r="V509" t="s">
        <v>1</v>
      </c>
      <c r="W509" t="s">
        <v>1</v>
      </c>
      <c r="X509" t="s">
        <v>1</v>
      </c>
      <c r="Y509" t="s">
        <v>1</v>
      </c>
      <c r="Z509" t="s">
        <v>1</v>
      </c>
      <c r="AA509" t="s">
        <v>1</v>
      </c>
      <c r="AB509" t="s">
        <v>1</v>
      </c>
      <c r="AC509" t="s">
        <v>1</v>
      </c>
      <c r="AD509" t="s">
        <v>1</v>
      </c>
      <c r="AE509" t="s">
        <v>1</v>
      </c>
      <c r="AF509" t="s">
        <v>1</v>
      </c>
      <c r="AG509" t="s">
        <v>1</v>
      </c>
      <c r="AH509" t="s">
        <v>1</v>
      </c>
      <c r="AI509" t="s">
        <v>1</v>
      </c>
      <c r="AJ509" t="s">
        <v>1</v>
      </c>
      <c r="AK509" t="s">
        <v>1</v>
      </c>
      <c r="AL509" t="s">
        <v>1</v>
      </c>
      <c r="AM509" t="s">
        <v>1</v>
      </c>
      <c r="AN509">
        <v>477</v>
      </c>
      <c r="AO509">
        <f t="shared" si="69"/>
        <v>477</v>
      </c>
      <c r="AP509">
        <f t="shared" si="62"/>
        <v>79</v>
      </c>
      <c r="AQ509">
        <f t="shared" si="63"/>
        <v>79</v>
      </c>
      <c r="AR509" s="26" t="s">
        <v>1355</v>
      </c>
      <c r="AS509" s="26" t="s">
        <v>1356</v>
      </c>
      <c r="AT509" t="s">
        <v>730</v>
      </c>
      <c r="AU509" t="s">
        <v>1</v>
      </c>
      <c r="AV509" t="s">
        <v>1</v>
      </c>
      <c r="AW509">
        <v>59.67</v>
      </c>
      <c r="AX509">
        <v>10.77</v>
      </c>
      <c r="AY509" t="s">
        <v>737</v>
      </c>
      <c r="BA509" s="3">
        <v>2</v>
      </c>
      <c r="BB509" s="3"/>
      <c r="BC509" s="3"/>
      <c r="BD509" s="3"/>
      <c r="BE509" s="3"/>
      <c r="BF509">
        <v>1992</v>
      </c>
      <c r="BG509" s="24" t="s">
        <v>733</v>
      </c>
      <c r="BH509" s="24" t="s">
        <v>733</v>
      </c>
      <c r="BI509" s="24" t="s">
        <v>733</v>
      </c>
      <c r="BJ509" s="24" t="s">
        <v>732</v>
      </c>
      <c r="BK509" s="24" t="s">
        <v>733</v>
      </c>
      <c r="BL509" s="25" t="s">
        <v>733</v>
      </c>
      <c r="BM509" s="24" t="s">
        <v>733</v>
      </c>
      <c r="BN509" s="24" t="s">
        <v>732</v>
      </c>
      <c r="BO509" s="24" t="s">
        <v>733</v>
      </c>
      <c r="BP509" s="24" t="s">
        <v>733</v>
      </c>
      <c r="BQ509" s="24" t="s">
        <v>945</v>
      </c>
      <c r="BR509" s="24" t="s">
        <v>945</v>
      </c>
      <c r="BS509" s="25" t="s">
        <v>934</v>
      </c>
      <c r="BT509" s="24" t="s">
        <v>934</v>
      </c>
      <c r="BU509" s="24" t="s">
        <v>934</v>
      </c>
      <c r="BV509" s="24" t="s">
        <v>934</v>
      </c>
      <c r="BW509" s="24" t="s">
        <v>934</v>
      </c>
      <c r="BX509" s="24" t="s">
        <v>934</v>
      </c>
      <c r="BY509" s="25" t="s">
        <v>945</v>
      </c>
      <c r="BZ509" t="s">
        <v>1397</v>
      </c>
      <c r="CB509" t="s">
        <v>1408</v>
      </c>
      <c r="CC509" s="4">
        <f>SUM(399*4,547*3)/7*10*92%</f>
        <v>4254.3428571428576</v>
      </c>
      <c r="CD509" s="4"/>
      <c r="CE509" s="4"/>
      <c r="CF509" t="s">
        <v>793</v>
      </c>
      <c r="CG509">
        <v>100</v>
      </c>
      <c r="CH509" t="s">
        <v>805</v>
      </c>
      <c r="CI509" s="28">
        <f t="shared" si="70"/>
        <v>1.1125</v>
      </c>
      <c r="CJ509" s="10" t="s">
        <v>1442</v>
      </c>
      <c r="CK509" s="9" t="s">
        <v>1</v>
      </c>
      <c r="CL509" s="4" t="s">
        <v>1</v>
      </c>
      <c r="CM509" t="s">
        <v>847</v>
      </c>
      <c r="CN509" s="4">
        <f>11.2*10</f>
        <v>112</v>
      </c>
      <c r="CO509" s="4" t="s">
        <v>1</v>
      </c>
      <c r="CP509" s="4" t="s">
        <v>1</v>
      </c>
      <c r="CQ509" s="4" t="s">
        <v>1</v>
      </c>
      <c r="CR509" s="4" t="s">
        <v>1</v>
      </c>
      <c r="CS509" s="4" t="s">
        <v>1</v>
      </c>
      <c r="CT509" s="4" t="s">
        <v>1</v>
      </c>
      <c r="CU509" s="4" t="s">
        <v>1</v>
      </c>
      <c r="CV509" t="s">
        <v>851</v>
      </c>
      <c r="CW509">
        <v>100</v>
      </c>
      <c r="CX509" t="s">
        <v>1</v>
      </c>
      <c r="CY509" t="s">
        <v>1</v>
      </c>
      <c r="CZ509" s="26" t="s">
        <v>1358</v>
      </c>
      <c r="DA509" t="s">
        <v>734</v>
      </c>
      <c r="DB509">
        <v>30</v>
      </c>
      <c r="DC509" t="s">
        <v>1</v>
      </c>
      <c r="DD509" t="s">
        <v>1</v>
      </c>
      <c r="DE509" s="26" t="s">
        <v>1358</v>
      </c>
      <c r="DF509" t="s">
        <v>735</v>
      </c>
      <c r="DG509">
        <v>47.5</v>
      </c>
      <c r="DH509" t="s">
        <v>1</v>
      </c>
      <c r="DI509" t="s">
        <v>1</v>
      </c>
      <c r="DJ509" s="26" t="s">
        <v>1358</v>
      </c>
      <c r="DK509" t="s">
        <v>736</v>
      </c>
      <c r="DL509">
        <v>22.5</v>
      </c>
      <c r="DM509" t="s">
        <v>1</v>
      </c>
      <c r="DN509" t="s">
        <v>1</v>
      </c>
      <c r="DO509" s="26" t="s">
        <v>1358</v>
      </c>
      <c r="DP509" t="s">
        <v>1</v>
      </c>
      <c r="DQ509" t="s">
        <v>1</v>
      </c>
      <c r="DR509" t="s">
        <v>1</v>
      </c>
      <c r="DS509" t="s">
        <v>1</v>
      </c>
      <c r="DT509" t="s">
        <v>1</v>
      </c>
      <c r="DU509" t="s">
        <v>1</v>
      </c>
      <c r="EA509" t="s">
        <v>982</v>
      </c>
      <c r="EB509">
        <v>24</v>
      </c>
      <c r="EC509" s="39">
        <v>0</v>
      </c>
      <c r="ED509" s="39">
        <v>30</v>
      </c>
      <c r="EE509" s="26" t="s">
        <v>1358</v>
      </c>
      <c r="EF509" t="s">
        <v>1464</v>
      </c>
      <c r="FZ509" t="s">
        <v>806</v>
      </c>
      <c r="GA509">
        <v>865</v>
      </c>
      <c r="GE509" s="26" t="s">
        <v>1358</v>
      </c>
      <c r="HA509" s="5" t="s">
        <v>1</v>
      </c>
      <c r="HB509" s="4" t="s">
        <v>1</v>
      </c>
      <c r="HC509" t="s">
        <v>1</v>
      </c>
      <c r="HD509" t="s">
        <v>1</v>
      </c>
      <c r="HE509" t="s">
        <v>1</v>
      </c>
      <c r="HF509" s="5" t="s">
        <v>1063</v>
      </c>
      <c r="HG509" s="4">
        <v>2.1</v>
      </c>
      <c r="HH509" t="s">
        <v>1</v>
      </c>
      <c r="HI509" t="s">
        <v>1</v>
      </c>
      <c r="HJ509" s="26" t="s">
        <v>1358</v>
      </c>
      <c r="HK509" t="s">
        <v>1</v>
      </c>
      <c r="HL509" t="s">
        <v>1</v>
      </c>
      <c r="HM509" t="s">
        <v>1</v>
      </c>
      <c r="HN509" t="s">
        <v>1</v>
      </c>
      <c r="HO509" t="s">
        <v>1</v>
      </c>
      <c r="HP509" t="s">
        <v>1</v>
      </c>
      <c r="HZ509" t="s">
        <v>966</v>
      </c>
      <c r="IA509">
        <v>97</v>
      </c>
      <c r="IB509" s="5" t="s">
        <v>1</v>
      </c>
      <c r="IC509" s="5"/>
      <c r="ID509" s="5"/>
      <c r="IE509" s="10" t="s">
        <v>1</v>
      </c>
      <c r="IF509" s="10" t="s">
        <v>1</v>
      </c>
      <c r="IG509" s="10"/>
      <c r="IH509" s="10"/>
      <c r="II509" s="10"/>
      <c r="IJ509" s="10"/>
      <c r="IK509" s="10"/>
      <c r="IL509" s="10"/>
      <c r="IM509" s="10"/>
      <c r="IN509" s="10"/>
      <c r="IO509" s="10"/>
      <c r="IP509" s="10"/>
      <c r="IQ509" s="10"/>
      <c r="IR509" s="10"/>
      <c r="IS509" t="s">
        <v>1</v>
      </c>
      <c r="IT509" t="s">
        <v>1</v>
      </c>
      <c r="IW509" t="s">
        <v>1</v>
      </c>
      <c r="IX509" t="s">
        <v>1</v>
      </c>
      <c r="IY509" t="s">
        <v>808</v>
      </c>
      <c r="IZ509">
        <v>350</v>
      </c>
      <c r="JA509" t="s">
        <v>1065</v>
      </c>
      <c r="JB509" s="3">
        <v>10</v>
      </c>
      <c r="JC509" t="s">
        <v>1</v>
      </c>
      <c r="JD509" s="4" t="s">
        <v>1</v>
      </c>
      <c r="JE509" t="s">
        <v>1</v>
      </c>
      <c r="JF509" t="s">
        <v>1</v>
      </c>
      <c r="JR509" t="s">
        <v>1066</v>
      </c>
      <c r="JS509">
        <v>203.6</v>
      </c>
      <c r="JU509" t="s">
        <v>1</v>
      </c>
      <c r="JW509" t="s">
        <v>1</v>
      </c>
      <c r="JX509">
        <v>0</v>
      </c>
      <c r="JY509">
        <v>110.00000000000001</v>
      </c>
      <c r="JZ509" t="s">
        <v>796</v>
      </c>
      <c r="KA509" t="s">
        <v>585</v>
      </c>
      <c r="KB509" t="s">
        <v>738</v>
      </c>
      <c r="KC509" t="s">
        <v>1</v>
      </c>
      <c r="KD509" t="s">
        <v>1</v>
      </c>
      <c r="KE509" t="s">
        <v>1</v>
      </c>
      <c r="KF509" t="s">
        <v>1</v>
      </c>
      <c r="KG509" t="s">
        <v>1</v>
      </c>
      <c r="KH509" t="s">
        <v>1</v>
      </c>
      <c r="KI509" t="s">
        <v>1</v>
      </c>
      <c r="KJ509" t="s">
        <v>1</v>
      </c>
      <c r="KK509" t="s">
        <v>1</v>
      </c>
    </row>
    <row r="510" spans="1:297" x14ac:dyDescent="0.2">
      <c r="A510">
        <v>478</v>
      </c>
      <c r="B510" t="s">
        <v>705</v>
      </c>
      <c r="C510" t="s">
        <v>588</v>
      </c>
      <c r="D510" t="s">
        <v>583</v>
      </c>
      <c r="E510">
        <v>79</v>
      </c>
      <c r="F510" t="s">
        <v>704</v>
      </c>
      <c r="G510" t="s">
        <v>1</v>
      </c>
      <c r="H510" s="26" t="s">
        <v>1420</v>
      </c>
      <c r="I510" t="s">
        <v>1</v>
      </c>
      <c r="J510" t="s">
        <v>1</v>
      </c>
      <c r="K510" t="s">
        <v>1</v>
      </c>
      <c r="L510" t="s">
        <v>1</v>
      </c>
      <c r="M510" t="s">
        <v>1</v>
      </c>
      <c r="N510" t="s">
        <v>1</v>
      </c>
      <c r="O510" t="s">
        <v>1</v>
      </c>
      <c r="P510" t="s">
        <v>1</v>
      </c>
      <c r="Q510" t="s">
        <v>1</v>
      </c>
      <c r="R510" t="s">
        <v>1</v>
      </c>
      <c r="S510" t="s">
        <v>1</v>
      </c>
      <c r="T510" t="s">
        <v>1</v>
      </c>
      <c r="U510" t="s">
        <v>1</v>
      </c>
      <c r="V510" t="s">
        <v>1</v>
      </c>
      <c r="W510" t="s">
        <v>1</v>
      </c>
      <c r="X510" t="s">
        <v>1</v>
      </c>
      <c r="Y510" t="s">
        <v>1</v>
      </c>
      <c r="Z510" t="s">
        <v>1</v>
      </c>
      <c r="AA510" t="s">
        <v>1</v>
      </c>
      <c r="AB510" t="s">
        <v>1</v>
      </c>
      <c r="AC510" t="s">
        <v>1</v>
      </c>
      <c r="AD510" t="s">
        <v>1</v>
      </c>
      <c r="AE510" t="s">
        <v>1</v>
      </c>
      <c r="AF510" t="s">
        <v>1</v>
      </c>
      <c r="AG510" t="s">
        <v>1</v>
      </c>
      <c r="AH510" t="s">
        <v>1</v>
      </c>
      <c r="AI510" t="s">
        <v>1</v>
      </c>
      <c r="AJ510" t="s">
        <v>1</v>
      </c>
      <c r="AK510" t="s">
        <v>1</v>
      </c>
      <c r="AL510" t="s">
        <v>1</v>
      </c>
      <c r="AM510" t="s">
        <v>1</v>
      </c>
      <c r="AN510">
        <v>478</v>
      </c>
      <c r="AO510">
        <f t="shared" si="69"/>
        <v>478</v>
      </c>
      <c r="AP510">
        <f t="shared" si="62"/>
        <v>79</v>
      </c>
      <c r="AQ510">
        <f t="shared" si="63"/>
        <v>79</v>
      </c>
      <c r="AR510" s="26" t="s">
        <v>1355</v>
      </c>
      <c r="AS510" s="26" t="s">
        <v>1356</v>
      </c>
      <c r="AT510" t="s">
        <v>730</v>
      </c>
      <c r="AU510" t="s">
        <v>1</v>
      </c>
      <c r="AV510" t="s">
        <v>1</v>
      </c>
      <c r="AW510">
        <v>59.67</v>
      </c>
      <c r="AX510">
        <v>10.77</v>
      </c>
      <c r="AY510" t="s">
        <v>737</v>
      </c>
      <c r="BA510" s="3">
        <v>2</v>
      </c>
      <c r="BB510" s="3"/>
      <c r="BC510" s="3"/>
      <c r="BD510" s="3"/>
      <c r="BE510" s="3"/>
      <c r="BF510">
        <v>1992</v>
      </c>
      <c r="BG510" s="24" t="s">
        <v>733</v>
      </c>
      <c r="BH510" s="24" t="s">
        <v>733</v>
      </c>
      <c r="BI510" s="24" t="s">
        <v>733</v>
      </c>
      <c r="BJ510" s="24" t="s">
        <v>732</v>
      </c>
      <c r="BK510" s="24" t="s">
        <v>733</v>
      </c>
      <c r="BL510" s="25" t="s">
        <v>733</v>
      </c>
      <c r="BM510" s="24" t="s">
        <v>733</v>
      </c>
      <c r="BN510" s="24" t="s">
        <v>732</v>
      </c>
      <c r="BO510" s="24" t="s">
        <v>733</v>
      </c>
      <c r="BP510" s="24" t="s">
        <v>733</v>
      </c>
      <c r="BQ510" s="24" t="s">
        <v>945</v>
      </c>
      <c r="BR510" s="24" t="s">
        <v>945</v>
      </c>
      <c r="BS510" s="25" t="s">
        <v>934</v>
      </c>
      <c r="BT510" s="24" t="s">
        <v>934</v>
      </c>
      <c r="BU510" s="24" t="s">
        <v>934</v>
      </c>
      <c r="BV510" s="24" t="s">
        <v>934</v>
      </c>
      <c r="BW510" s="24" t="s">
        <v>934</v>
      </c>
      <c r="BX510" s="24" t="s">
        <v>934</v>
      </c>
      <c r="BY510" s="25" t="s">
        <v>945</v>
      </c>
      <c r="BZ510" t="s">
        <v>1397</v>
      </c>
      <c r="CB510" t="s">
        <v>1408</v>
      </c>
      <c r="CC510" s="4">
        <f>SUM(431*4,521*3)/7*10*92%</f>
        <v>4320.0571428571429</v>
      </c>
      <c r="CD510" s="4"/>
      <c r="CE510" s="4"/>
      <c r="CF510" t="s">
        <v>793</v>
      </c>
      <c r="CG510">
        <v>100</v>
      </c>
      <c r="CH510" t="s">
        <v>805</v>
      </c>
      <c r="CI510" s="28">
        <f t="shared" si="70"/>
        <v>1.1125</v>
      </c>
      <c r="CJ510" s="10" t="s">
        <v>1442</v>
      </c>
      <c r="CK510" s="9" t="s">
        <v>1</v>
      </c>
      <c r="CL510" s="4" t="s">
        <v>1</v>
      </c>
      <c r="CM510" t="s">
        <v>847</v>
      </c>
      <c r="CN510" s="4">
        <f>12.2*10</f>
        <v>122</v>
      </c>
      <c r="CO510" s="4" t="s">
        <v>1</v>
      </c>
      <c r="CP510" s="4" t="s">
        <v>1</v>
      </c>
      <c r="CQ510" s="4" t="s">
        <v>1</v>
      </c>
      <c r="CR510" s="4" t="s">
        <v>1</v>
      </c>
      <c r="CS510" s="4" t="s">
        <v>1</v>
      </c>
      <c r="CT510" s="4" t="s">
        <v>1</v>
      </c>
      <c r="CU510" s="4" t="s">
        <v>1</v>
      </c>
      <c r="CV510" t="s">
        <v>851</v>
      </c>
      <c r="CW510">
        <v>100</v>
      </c>
      <c r="CX510" t="s">
        <v>1</v>
      </c>
      <c r="CY510" t="s">
        <v>1</v>
      </c>
      <c r="CZ510" s="26" t="s">
        <v>1358</v>
      </c>
      <c r="DA510" t="s">
        <v>734</v>
      </c>
      <c r="DB510">
        <v>30</v>
      </c>
      <c r="DC510" t="s">
        <v>1</v>
      </c>
      <c r="DD510" t="s">
        <v>1</v>
      </c>
      <c r="DE510" s="26" t="s">
        <v>1358</v>
      </c>
      <c r="DF510" t="s">
        <v>735</v>
      </c>
      <c r="DG510">
        <v>47.5</v>
      </c>
      <c r="DH510" t="s">
        <v>1</v>
      </c>
      <c r="DI510" t="s">
        <v>1</v>
      </c>
      <c r="DJ510" s="26" t="s">
        <v>1358</v>
      </c>
      <c r="DK510" t="s">
        <v>736</v>
      </c>
      <c r="DL510">
        <v>22.5</v>
      </c>
      <c r="DM510" t="s">
        <v>1</v>
      </c>
      <c r="DN510" t="s">
        <v>1</v>
      </c>
      <c r="DO510" s="26" t="s">
        <v>1358</v>
      </c>
      <c r="DP510" t="s">
        <v>1</v>
      </c>
      <c r="DQ510" t="s">
        <v>1</v>
      </c>
      <c r="DR510" t="s">
        <v>1</v>
      </c>
      <c r="DS510" t="s">
        <v>1</v>
      </c>
      <c r="DT510" t="s">
        <v>1</v>
      </c>
      <c r="DU510" t="s">
        <v>1</v>
      </c>
      <c r="EA510" t="s">
        <v>982</v>
      </c>
      <c r="EB510">
        <v>24</v>
      </c>
      <c r="EC510" s="39">
        <v>0</v>
      </c>
      <c r="ED510" s="39">
        <v>30</v>
      </c>
      <c r="EE510" s="26" t="s">
        <v>1358</v>
      </c>
      <c r="EF510" t="s">
        <v>1464</v>
      </c>
      <c r="FZ510" t="s">
        <v>806</v>
      </c>
      <c r="GA510">
        <v>865</v>
      </c>
      <c r="GE510" s="26" t="s">
        <v>1358</v>
      </c>
      <c r="HA510" s="5" t="s">
        <v>1</v>
      </c>
      <c r="HB510" s="4" t="s">
        <v>1</v>
      </c>
      <c r="HC510" t="s">
        <v>1</v>
      </c>
      <c r="HD510" t="s">
        <v>1</v>
      </c>
      <c r="HE510" t="s">
        <v>1</v>
      </c>
      <c r="HF510" s="5" t="s">
        <v>1063</v>
      </c>
      <c r="HG510" s="4">
        <v>2.1</v>
      </c>
      <c r="HH510" t="s">
        <v>1</v>
      </c>
      <c r="HI510" t="s">
        <v>1</v>
      </c>
      <c r="HJ510" s="26" t="s">
        <v>1358</v>
      </c>
      <c r="HK510" t="s">
        <v>1</v>
      </c>
      <c r="HL510" t="s">
        <v>1</v>
      </c>
      <c r="HM510" t="s">
        <v>1</v>
      </c>
      <c r="HN510" t="s">
        <v>1</v>
      </c>
      <c r="HO510" t="s">
        <v>1</v>
      </c>
      <c r="HP510" t="s">
        <v>1</v>
      </c>
      <c r="HZ510" t="s">
        <v>1295</v>
      </c>
      <c r="IA510">
        <v>108</v>
      </c>
      <c r="IB510" s="5" t="s">
        <v>839</v>
      </c>
      <c r="IC510" s="5"/>
      <c r="ID510" s="5"/>
      <c r="IE510" s="10" t="s">
        <v>1</v>
      </c>
      <c r="IF510" s="10" t="s">
        <v>1</v>
      </c>
      <c r="IG510" s="10"/>
      <c r="IH510" s="10"/>
      <c r="II510" s="10"/>
      <c r="IJ510" s="10"/>
      <c r="IK510" s="10"/>
      <c r="IL510" s="10"/>
      <c r="IM510" s="10"/>
      <c r="IN510" s="10"/>
      <c r="IO510" s="10"/>
      <c r="IP510" s="10"/>
      <c r="IQ510" s="10"/>
      <c r="IR510" s="10"/>
      <c r="IS510" t="s">
        <v>1</v>
      </c>
      <c r="IT510" t="s">
        <v>1</v>
      </c>
      <c r="IW510" t="s">
        <v>1</v>
      </c>
      <c r="IX510" t="s">
        <v>1</v>
      </c>
      <c r="IY510" t="s">
        <v>808</v>
      </c>
      <c r="IZ510">
        <v>350</v>
      </c>
      <c r="JA510" t="s">
        <v>1065</v>
      </c>
      <c r="JB510" s="3">
        <v>10</v>
      </c>
      <c r="JC510" t="s">
        <v>1</v>
      </c>
      <c r="JD510" s="4" t="s">
        <v>1</v>
      </c>
      <c r="JE510" t="s">
        <v>1</v>
      </c>
      <c r="JF510" t="s">
        <v>1</v>
      </c>
      <c r="JR510" t="s">
        <v>1066</v>
      </c>
      <c r="JS510">
        <v>185.9</v>
      </c>
      <c r="JU510" t="s">
        <v>1</v>
      </c>
      <c r="JW510" t="s">
        <v>1</v>
      </c>
      <c r="JX510">
        <v>0</v>
      </c>
      <c r="JY510">
        <v>110.00000000000001</v>
      </c>
      <c r="JZ510" t="s">
        <v>796</v>
      </c>
      <c r="KA510" t="s">
        <v>585</v>
      </c>
      <c r="KB510" t="s">
        <v>738</v>
      </c>
      <c r="KC510" t="s">
        <v>1</v>
      </c>
      <c r="KD510" t="s">
        <v>1</v>
      </c>
      <c r="KE510" t="s">
        <v>1</v>
      </c>
      <c r="KF510" t="s">
        <v>1</v>
      </c>
      <c r="KG510" t="s">
        <v>1</v>
      </c>
      <c r="KH510" t="s">
        <v>1</v>
      </c>
      <c r="KI510" t="s">
        <v>1</v>
      </c>
      <c r="KJ510" t="s">
        <v>1</v>
      </c>
      <c r="KK510" t="s">
        <v>1</v>
      </c>
    </row>
    <row r="511" spans="1:297" x14ac:dyDescent="0.2">
      <c r="A511">
        <v>479</v>
      </c>
      <c r="B511" t="s">
        <v>705</v>
      </c>
      <c r="C511" t="s">
        <v>589</v>
      </c>
      <c r="D511" t="s">
        <v>583</v>
      </c>
      <c r="E511">
        <v>79</v>
      </c>
      <c r="F511" t="s">
        <v>704</v>
      </c>
      <c r="G511" t="s">
        <v>1</v>
      </c>
      <c r="H511" s="26" t="s">
        <v>1420</v>
      </c>
      <c r="I511" t="s">
        <v>1</v>
      </c>
      <c r="J511" t="s">
        <v>1</v>
      </c>
      <c r="K511" t="s">
        <v>1</v>
      </c>
      <c r="L511" t="s">
        <v>1</v>
      </c>
      <c r="M511" t="s">
        <v>1</v>
      </c>
      <c r="N511" t="s">
        <v>1</v>
      </c>
      <c r="O511" t="s">
        <v>1</v>
      </c>
      <c r="P511" t="s">
        <v>1</v>
      </c>
      <c r="Q511" t="s">
        <v>1</v>
      </c>
      <c r="R511" t="s">
        <v>1</v>
      </c>
      <c r="S511" t="s">
        <v>1</v>
      </c>
      <c r="T511" t="s">
        <v>1</v>
      </c>
      <c r="U511" t="s">
        <v>1</v>
      </c>
      <c r="V511" t="s">
        <v>1</v>
      </c>
      <c r="W511" t="s">
        <v>1</v>
      </c>
      <c r="X511" t="s">
        <v>1</v>
      </c>
      <c r="Y511" t="s">
        <v>1</v>
      </c>
      <c r="Z511" t="s">
        <v>1</v>
      </c>
      <c r="AA511" t="s">
        <v>1</v>
      </c>
      <c r="AB511" t="s">
        <v>1</v>
      </c>
      <c r="AC511" t="s">
        <v>1</v>
      </c>
      <c r="AD511" t="s">
        <v>1</v>
      </c>
      <c r="AE511" t="s">
        <v>1</v>
      </c>
      <c r="AF511" t="s">
        <v>1</v>
      </c>
      <c r="AG511" t="s">
        <v>1</v>
      </c>
      <c r="AH511" t="s">
        <v>1</v>
      </c>
      <c r="AI511" t="s">
        <v>1</v>
      </c>
      <c r="AJ511" t="s">
        <v>1</v>
      </c>
      <c r="AK511" t="s">
        <v>1</v>
      </c>
      <c r="AL511" t="s">
        <v>1</v>
      </c>
      <c r="AM511" t="s">
        <v>1</v>
      </c>
      <c r="AN511">
        <v>479</v>
      </c>
      <c r="AO511">
        <f t="shared" si="69"/>
        <v>479</v>
      </c>
      <c r="AP511">
        <f t="shared" si="62"/>
        <v>79</v>
      </c>
      <c r="AQ511">
        <f t="shared" ref="AQ511:AQ542" si="71">E511</f>
        <v>79</v>
      </c>
      <c r="AR511" s="26" t="s">
        <v>1355</v>
      </c>
      <c r="AS511" s="26" t="s">
        <v>1356</v>
      </c>
      <c r="AT511" t="s">
        <v>730</v>
      </c>
      <c r="AU511" t="s">
        <v>1</v>
      </c>
      <c r="AV511" t="s">
        <v>1</v>
      </c>
      <c r="AW511">
        <v>59.67</v>
      </c>
      <c r="AX511">
        <v>10.77</v>
      </c>
      <c r="AY511" t="s">
        <v>737</v>
      </c>
      <c r="BA511" s="3">
        <v>2</v>
      </c>
      <c r="BB511" s="3"/>
      <c r="BC511" s="3"/>
      <c r="BD511" s="3"/>
      <c r="BE511" s="3"/>
      <c r="BF511">
        <v>1992</v>
      </c>
      <c r="BG511" s="24" t="s">
        <v>733</v>
      </c>
      <c r="BH511" s="24" t="s">
        <v>733</v>
      </c>
      <c r="BI511" s="24" t="s">
        <v>733</v>
      </c>
      <c r="BJ511" s="24" t="s">
        <v>732</v>
      </c>
      <c r="BK511" s="24" t="s">
        <v>733</v>
      </c>
      <c r="BL511" s="25" t="s">
        <v>733</v>
      </c>
      <c r="BM511" s="24" t="s">
        <v>733</v>
      </c>
      <c r="BN511" s="24" t="s">
        <v>732</v>
      </c>
      <c r="BO511" s="24" t="s">
        <v>733</v>
      </c>
      <c r="BP511" s="24" t="s">
        <v>733</v>
      </c>
      <c r="BQ511" s="24" t="s">
        <v>945</v>
      </c>
      <c r="BR511" s="24" t="s">
        <v>945</v>
      </c>
      <c r="BS511" s="25" t="s">
        <v>934</v>
      </c>
      <c r="BT511" s="24" t="s">
        <v>934</v>
      </c>
      <c r="BU511" s="24" t="s">
        <v>934</v>
      </c>
      <c r="BV511" s="24" t="s">
        <v>934</v>
      </c>
      <c r="BW511" s="24" t="s">
        <v>934</v>
      </c>
      <c r="BX511" s="24" t="s">
        <v>934</v>
      </c>
      <c r="BY511" s="25" t="s">
        <v>945</v>
      </c>
      <c r="BZ511" t="s">
        <v>1397</v>
      </c>
      <c r="CB511" t="s">
        <v>1408</v>
      </c>
      <c r="CC511" s="4">
        <f>SUM(453*4,564*3)/7*10*92%</f>
        <v>4605.2571428571428</v>
      </c>
      <c r="CD511" s="4"/>
      <c r="CE511" s="4"/>
      <c r="CF511" t="s">
        <v>793</v>
      </c>
      <c r="CG511">
        <v>100</v>
      </c>
      <c r="CH511" t="s">
        <v>805</v>
      </c>
      <c r="CI511" s="28">
        <f t="shared" si="70"/>
        <v>1.1125</v>
      </c>
      <c r="CJ511" s="10" t="s">
        <v>1442</v>
      </c>
      <c r="CK511" s="9" t="s">
        <v>1</v>
      </c>
      <c r="CL511" s="4" t="s">
        <v>1</v>
      </c>
      <c r="CM511" t="s">
        <v>847</v>
      </c>
      <c r="CN511" s="4">
        <f>13.3*10</f>
        <v>133</v>
      </c>
      <c r="CO511" s="4" t="s">
        <v>1</v>
      </c>
      <c r="CP511" s="4" t="s">
        <v>1</v>
      </c>
      <c r="CQ511" s="4" t="s">
        <v>1</v>
      </c>
      <c r="CR511" s="4" t="s">
        <v>1</v>
      </c>
      <c r="CS511" s="4" t="s">
        <v>1</v>
      </c>
      <c r="CT511" s="4" t="s">
        <v>1</v>
      </c>
      <c r="CU511" s="4" t="s">
        <v>1</v>
      </c>
      <c r="CV511" t="s">
        <v>851</v>
      </c>
      <c r="CW511">
        <v>100</v>
      </c>
      <c r="CX511" t="s">
        <v>1</v>
      </c>
      <c r="CY511" t="s">
        <v>1</v>
      </c>
      <c r="CZ511" s="26" t="s">
        <v>1358</v>
      </c>
      <c r="DA511" t="s">
        <v>734</v>
      </c>
      <c r="DB511">
        <v>30</v>
      </c>
      <c r="DC511" t="s">
        <v>1</v>
      </c>
      <c r="DD511" t="s">
        <v>1</v>
      </c>
      <c r="DE511" s="26" t="s">
        <v>1358</v>
      </c>
      <c r="DF511" t="s">
        <v>735</v>
      </c>
      <c r="DG511">
        <v>47.5</v>
      </c>
      <c r="DH511" t="s">
        <v>1</v>
      </c>
      <c r="DI511" t="s">
        <v>1</v>
      </c>
      <c r="DJ511" s="26" t="s">
        <v>1358</v>
      </c>
      <c r="DK511" t="s">
        <v>736</v>
      </c>
      <c r="DL511">
        <v>22.5</v>
      </c>
      <c r="DM511" t="s">
        <v>1</v>
      </c>
      <c r="DN511" t="s">
        <v>1</v>
      </c>
      <c r="DO511" s="26" t="s">
        <v>1358</v>
      </c>
      <c r="DP511" t="s">
        <v>1</v>
      </c>
      <c r="DQ511" t="s">
        <v>1</v>
      </c>
      <c r="DR511" t="s">
        <v>1</v>
      </c>
      <c r="DS511" t="s">
        <v>1</v>
      </c>
      <c r="DT511" t="s">
        <v>1</v>
      </c>
      <c r="DU511" t="s">
        <v>1</v>
      </c>
      <c r="EA511" t="s">
        <v>982</v>
      </c>
      <c r="EB511">
        <v>24</v>
      </c>
      <c r="EC511" s="39">
        <v>0</v>
      </c>
      <c r="ED511" s="39">
        <v>30</v>
      </c>
      <c r="EE511" s="26" t="s">
        <v>1358</v>
      </c>
      <c r="EF511" t="s">
        <v>1464</v>
      </c>
      <c r="FZ511" t="s">
        <v>806</v>
      </c>
      <c r="GA511">
        <v>865</v>
      </c>
      <c r="GE511" s="26" t="s">
        <v>1358</v>
      </c>
      <c r="HA511" s="5" t="s">
        <v>1</v>
      </c>
      <c r="HB511" s="4" t="s">
        <v>1</v>
      </c>
      <c r="HC511" t="s">
        <v>1</v>
      </c>
      <c r="HD511" t="s">
        <v>1</v>
      </c>
      <c r="HE511" t="s">
        <v>1</v>
      </c>
      <c r="HF511" s="5" t="s">
        <v>1063</v>
      </c>
      <c r="HG511" s="4">
        <v>2.1</v>
      </c>
      <c r="HH511" t="s">
        <v>1</v>
      </c>
      <c r="HI511" t="s">
        <v>1</v>
      </c>
      <c r="HJ511" s="26" t="s">
        <v>1358</v>
      </c>
      <c r="HK511" t="s">
        <v>1</v>
      </c>
      <c r="HL511" t="s">
        <v>1</v>
      </c>
      <c r="HM511" t="s">
        <v>1</v>
      </c>
      <c r="HN511" t="s">
        <v>1</v>
      </c>
      <c r="HO511" t="s">
        <v>1</v>
      </c>
      <c r="HP511" t="s">
        <v>1</v>
      </c>
      <c r="HZ511" t="s">
        <v>966</v>
      </c>
      <c r="IA511">
        <v>137</v>
      </c>
      <c r="IB511" s="5" t="s">
        <v>1</v>
      </c>
      <c r="IC511" s="5"/>
      <c r="ID511" s="5"/>
      <c r="IE511" s="10" t="s">
        <v>1</v>
      </c>
      <c r="IF511" s="10" t="s">
        <v>1</v>
      </c>
      <c r="IG511" s="10"/>
      <c r="IH511" s="10"/>
      <c r="II511" s="10"/>
      <c r="IJ511" s="10"/>
      <c r="IK511" s="10"/>
      <c r="IL511" s="10"/>
      <c r="IM511" s="10"/>
      <c r="IN511" s="10"/>
      <c r="IO511" s="10"/>
      <c r="IP511" s="10"/>
      <c r="IQ511" s="10"/>
      <c r="IR511" s="10"/>
      <c r="IS511" t="s">
        <v>1</v>
      </c>
      <c r="IT511" t="s">
        <v>1</v>
      </c>
      <c r="IW511" t="s">
        <v>1</v>
      </c>
      <c r="IX511" t="s">
        <v>1</v>
      </c>
      <c r="IY511" t="s">
        <v>808</v>
      </c>
      <c r="IZ511">
        <v>350</v>
      </c>
      <c r="JA511" t="s">
        <v>1065</v>
      </c>
      <c r="JB511" s="3">
        <v>10</v>
      </c>
      <c r="JC511" t="s">
        <v>1</v>
      </c>
      <c r="JD511" s="4" t="s">
        <v>1</v>
      </c>
      <c r="JE511" t="s">
        <v>1</v>
      </c>
      <c r="JF511" t="s">
        <v>1</v>
      </c>
      <c r="JR511" t="s">
        <v>1066</v>
      </c>
      <c r="JS511">
        <v>225.8</v>
      </c>
      <c r="JU511" t="s">
        <v>1</v>
      </c>
      <c r="JW511" t="s">
        <v>1</v>
      </c>
      <c r="JX511">
        <v>0</v>
      </c>
      <c r="JY511">
        <v>110.00000000000001</v>
      </c>
      <c r="JZ511" t="s">
        <v>796</v>
      </c>
      <c r="KA511" t="s">
        <v>585</v>
      </c>
      <c r="KB511" t="s">
        <v>738</v>
      </c>
      <c r="KC511" t="s">
        <v>1</v>
      </c>
      <c r="KD511" t="s">
        <v>1</v>
      </c>
      <c r="KE511" t="s">
        <v>1</v>
      </c>
      <c r="KF511" t="s">
        <v>1</v>
      </c>
      <c r="KG511" t="s">
        <v>1</v>
      </c>
      <c r="KH511" t="s">
        <v>1</v>
      </c>
      <c r="KI511" t="s">
        <v>1</v>
      </c>
      <c r="KJ511" t="s">
        <v>1</v>
      </c>
      <c r="KK511" t="s">
        <v>1</v>
      </c>
    </row>
    <row r="512" spans="1:297" x14ac:dyDescent="0.2">
      <c r="A512">
        <v>480</v>
      </c>
      <c r="B512" t="s">
        <v>705</v>
      </c>
      <c r="C512" t="s">
        <v>590</v>
      </c>
      <c r="D512" t="s">
        <v>583</v>
      </c>
      <c r="E512">
        <v>79</v>
      </c>
      <c r="F512" t="s">
        <v>704</v>
      </c>
      <c r="G512" t="s">
        <v>1</v>
      </c>
      <c r="H512" s="26" t="s">
        <v>1420</v>
      </c>
      <c r="I512" t="s">
        <v>1</v>
      </c>
      <c r="J512" t="s">
        <v>1</v>
      </c>
      <c r="K512" t="s">
        <v>1</v>
      </c>
      <c r="L512" t="s">
        <v>1</v>
      </c>
      <c r="M512" t="s">
        <v>1</v>
      </c>
      <c r="N512" t="s">
        <v>1</v>
      </c>
      <c r="O512" t="s">
        <v>1</v>
      </c>
      <c r="P512" t="s">
        <v>1</v>
      </c>
      <c r="Q512" t="s">
        <v>1</v>
      </c>
      <c r="R512" t="s">
        <v>1</v>
      </c>
      <c r="S512" t="s">
        <v>1</v>
      </c>
      <c r="T512" t="s">
        <v>1</v>
      </c>
      <c r="U512" t="s">
        <v>1</v>
      </c>
      <c r="V512" t="s">
        <v>1</v>
      </c>
      <c r="W512" t="s">
        <v>1</v>
      </c>
      <c r="X512" t="s">
        <v>1</v>
      </c>
      <c r="Y512" t="s">
        <v>1</v>
      </c>
      <c r="Z512" t="s">
        <v>1</v>
      </c>
      <c r="AA512" t="s">
        <v>1</v>
      </c>
      <c r="AB512" t="s">
        <v>1</v>
      </c>
      <c r="AC512" t="s">
        <v>1</v>
      </c>
      <c r="AD512" t="s">
        <v>1</v>
      </c>
      <c r="AE512" t="s">
        <v>1</v>
      </c>
      <c r="AF512" t="s">
        <v>1</v>
      </c>
      <c r="AG512" t="s">
        <v>1</v>
      </c>
      <c r="AH512" t="s">
        <v>1</v>
      </c>
      <c r="AI512" t="s">
        <v>1</v>
      </c>
      <c r="AJ512" t="s">
        <v>1</v>
      </c>
      <c r="AK512" t="s">
        <v>1</v>
      </c>
      <c r="AL512" t="s">
        <v>1</v>
      </c>
      <c r="AM512" t="s">
        <v>1</v>
      </c>
      <c r="AN512">
        <v>480</v>
      </c>
      <c r="AO512">
        <f t="shared" si="69"/>
        <v>480</v>
      </c>
      <c r="AP512">
        <f t="shared" si="62"/>
        <v>79</v>
      </c>
      <c r="AQ512">
        <f t="shared" si="71"/>
        <v>79</v>
      </c>
      <c r="AR512" s="26" t="s">
        <v>1355</v>
      </c>
      <c r="AS512" s="26" t="s">
        <v>1356</v>
      </c>
      <c r="AT512" t="s">
        <v>730</v>
      </c>
      <c r="AU512" t="s">
        <v>1</v>
      </c>
      <c r="AV512" t="s">
        <v>1</v>
      </c>
      <c r="AW512">
        <v>59.67</v>
      </c>
      <c r="AX512">
        <v>10.77</v>
      </c>
      <c r="AY512" t="s">
        <v>737</v>
      </c>
      <c r="BA512" s="3">
        <v>2</v>
      </c>
      <c r="BB512" s="3"/>
      <c r="BC512" s="3"/>
      <c r="BD512" s="3"/>
      <c r="BE512" s="3"/>
      <c r="BF512">
        <v>1992</v>
      </c>
      <c r="BG512" s="24" t="s">
        <v>733</v>
      </c>
      <c r="BH512" s="24" t="s">
        <v>733</v>
      </c>
      <c r="BI512" s="24" t="s">
        <v>733</v>
      </c>
      <c r="BJ512" s="24" t="s">
        <v>732</v>
      </c>
      <c r="BK512" s="24" t="s">
        <v>733</v>
      </c>
      <c r="BL512" s="25" t="s">
        <v>733</v>
      </c>
      <c r="BM512" s="24" t="s">
        <v>733</v>
      </c>
      <c r="BN512" s="24" t="s">
        <v>732</v>
      </c>
      <c r="BO512" s="24" t="s">
        <v>733</v>
      </c>
      <c r="BP512" s="24" t="s">
        <v>733</v>
      </c>
      <c r="BQ512" s="24" t="s">
        <v>945</v>
      </c>
      <c r="BR512" s="24" t="s">
        <v>945</v>
      </c>
      <c r="BS512" s="25" t="s">
        <v>934</v>
      </c>
      <c r="BT512" s="24" t="s">
        <v>934</v>
      </c>
      <c r="BU512" s="24" t="s">
        <v>934</v>
      </c>
      <c r="BV512" s="24" t="s">
        <v>934</v>
      </c>
      <c r="BW512" s="24" t="s">
        <v>934</v>
      </c>
      <c r="BX512" s="24" t="s">
        <v>934</v>
      </c>
      <c r="BY512" s="25" t="s">
        <v>945</v>
      </c>
      <c r="BZ512" t="s">
        <v>1397</v>
      </c>
      <c r="CB512" t="s">
        <v>1408</v>
      </c>
      <c r="CC512" s="4">
        <f>SUM(428*4,562*3)/7*10*92%</f>
        <v>4465.942857142858</v>
      </c>
      <c r="CD512" s="4"/>
      <c r="CE512" s="4"/>
      <c r="CF512" t="s">
        <v>793</v>
      </c>
      <c r="CG512">
        <v>100</v>
      </c>
      <c r="CH512" t="s">
        <v>805</v>
      </c>
      <c r="CI512" s="28">
        <f t="shared" si="70"/>
        <v>1.1125</v>
      </c>
      <c r="CJ512" s="10" t="s">
        <v>1442</v>
      </c>
      <c r="CK512" s="9" t="s">
        <v>1</v>
      </c>
      <c r="CL512" s="4" t="s">
        <v>1</v>
      </c>
      <c r="CM512" t="s">
        <v>847</v>
      </c>
      <c r="CN512" s="4">
        <f>13.4*10</f>
        <v>134</v>
      </c>
      <c r="CO512" s="4" t="s">
        <v>1</v>
      </c>
      <c r="CP512" s="4" t="s">
        <v>1</v>
      </c>
      <c r="CQ512" s="4" t="s">
        <v>1</v>
      </c>
      <c r="CR512" s="4" t="s">
        <v>1</v>
      </c>
      <c r="CS512" s="4" t="s">
        <v>1</v>
      </c>
      <c r="CT512" s="4" t="s">
        <v>1</v>
      </c>
      <c r="CU512" s="4" t="s">
        <v>1</v>
      </c>
      <c r="CV512" t="s">
        <v>851</v>
      </c>
      <c r="CW512">
        <v>100</v>
      </c>
      <c r="CX512" t="s">
        <v>1</v>
      </c>
      <c r="CY512" t="s">
        <v>1</v>
      </c>
      <c r="CZ512" s="26" t="s">
        <v>1358</v>
      </c>
      <c r="DA512" t="s">
        <v>734</v>
      </c>
      <c r="DB512">
        <v>30</v>
      </c>
      <c r="DC512" t="s">
        <v>1</v>
      </c>
      <c r="DD512" t="s">
        <v>1</v>
      </c>
      <c r="DE512" s="26" t="s">
        <v>1358</v>
      </c>
      <c r="DF512" t="s">
        <v>735</v>
      </c>
      <c r="DG512">
        <v>47.5</v>
      </c>
      <c r="DH512" t="s">
        <v>1</v>
      </c>
      <c r="DI512" t="s">
        <v>1</v>
      </c>
      <c r="DJ512" s="26" t="s">
        <v>1358</v>
      </c>
      <c r="DK512" t="s">
        <v>736</v>
      </c>
      <c r="DL512">
        <v>22.5</v>
      </c>
      <c r="DM512" t="s">
        <v>1</v>
      </c>
      <c r="DN512" t="s">
        <v>1</v>
      </c>
      <c r="DO512" s="26" t="s">
        <v>1358</v>
      </c>
      <c r="DP512" t="s">
        <v>1</v>
      </c>
      <c r="DQ512" t="s">
        <v>1</v>
      </c>
      <c r="DR512" t="s">
        <v>1</v>
      </c>
      <c r="DS512" t="s">
        <v>1</v>
      </c>
      <c r="DT512" t="s">
        <v>1</v>
      </c>
      <c r="DU512" t="s">
        <v>1</v>
      </c>
      <c r="EA512" t="s">
        <v>982</v>
      </c>
      <c r="EB512">
        <v>24</v>
      </c>
      <c r="EC512" s="39">
        <v>0</v>
      </c>
      <c r="ED512" s="39">
        <v>30</v>
      </c>
      <c r="EE512" s="26" t="s">
        <v>1358</v>
      </c>
      <c r="EF512" t="s">
        <v>1464</v>
      </c>
      <c r="FZ512" t="s">
        <v>806</v>
      </c>
      <c r="GA512">
        <v>865</v>
      </c>
      <c r="GE512" s="26" t="s">
        <v>1358</v>
      </c>
      <c r="HA512" s="5" t="s">
        <v>1</v>
      </c>
      <c r="HB512" s="4" t="s">
        <v>1</v>
      </c>
      <c r="HC512" t="s">
        <v>1</v>
      </c>
      <c r="HD512" t="s">
        <v>1</v>
      </c>
      <c r="HE512" t="s">
        <v>1</v>
      </c>
      <c r="HF512" s="5" t="s">
        <v>1063</v>
      </c>
      <c r="HG512" s="4">
        <v>2.1</v>
      </c>
      <c r="HH512" t="s">
        <v>1</v>
      </c>
      <c r="HI512" t="s">
        <v>1</v>
      </c>
      <c r="HJ512" s="26" t="s">
        <v>1358</v>
      </c>
      <c r="HK512" t="s">
        <v>1</v>
      </c>
      <c r="HL512" t="s">
        <v>1</v>
      </c>
      <c r="HM512" t="s">
        <v>1</v>
      </c>
      <c r="HN512" t="s">
        <v>1</v>
      </c>
      <c r="HO512" t="s">
        <v>1</v>
      </c>
      <c r="HP512" t="s">
        <v>1</v>
      </c>
      <c r="HZ512" t="s">
        <v>1295</v>
      </c>
      <c r="IA512">
        <v>137</v>
      </c>
      <c r="IB512" s="5" t="s">
        <v>839</v>
      </c>
      <c r="IC512" s="5"/>
      <c r="ID512" s="5"/>
      <c r="IE512" s="10" t="s">
        <v>1</v>
      </c>
      <c r="IF512" s="10" t="s">
        <v>1</v>
      </c>
      <c r="IG512" s="10"/>
      <c r="IH512" s="10"/>
      <c r="II512" s="10"/>
      <c r="IJ512" s="10"/>
      <c r="IK512" s="10"/>
      <c r="IL512" s="10"/>
      <c r="IM512" s="10"/>
      <c r="IN512" s="10"/>
      <c r="IO512" s="10"/>
      <c r="IP512" s="10"/>
      <c r="IQ512" s="10"/>
      <c r="IR512" s="10"/>
      <c r="IS512" t="s">
        <v>1</v>
      </c>
      <c r="IT512" t="s">
        <v>1</v>
      </c>
      <c r="IW512" t="s">
        <v>1</v>
      </c>
      <c r="IX512" t="s">
        <v>1</v>
      </c>
      <c r="IY512" t="s">
        <v>808</v>
      </c>
      <c r="IZ512">
        <v>350</v>
      </c>
      <c r="JA512" t="s">
        <v>1065</v>
      </c>
      <c r="JB512" s="3">
        <v>10</v>
      </c>
      <c r="JC512" t="s">
        <v>1</v>
      </c>
      <c r="JD512" s="4" t="s">
        <v>1</v>
      </c>
      <c r="JE512" t="s">
        <v>1</v>
      </c>
      <c r="JF512" t="s">
        <v>1</v>
      </c>
      <c r="JR512" t="s">
        <v>1066</v>
      </c>
      <c r="JS512">
        <v>230.2</v>
      </c>
      <c r="JU512" t="s">
        <v>1</v>
      </c>
      <c r="JW512" t="s">
        <v>1</v>
      </c>
      <c r="JX512">
        <v>0</v>
      </c>
      <c r="JY512">
        <v>110.00000000000001</v>
      </c>
      <c r="JZ512" t="s">
        <v>796</v>
      </c>
      <c r="KA512" t="s">
        <v>585</v>
      </c>
      <c r="KB512" t="s">
        <v>738</v>
      </c>
      <c r="KC512" t="s">
        <v>1</v>
      </c>
      <c r="KD512" t="s">
        <v>1</v>
      </c>
      <c r="KE512" t="s">
        <v>1</v>
      </c>
      <c r="KF512" t="s">
        <v>1</v>
      </c>
      <c r="KG512" t="s">
        <v>1</v>
      </c>
      <c r="KH512" t="s">
        <v>1</v>
      </c>
      <c r="KI512" t="s">
        <v>1</v>
      </c>
      <c r="KJ512" t="s">
        <v>1</v>
      </c>
      <c r="KK512" t="s">
        <v>1</v>
      </c>
    </row>
    <row r="513" spans="1:297" x14ac:dyDescent="0.2">
      <c r="A513">
        <v>481</v>
      </c>
      <c r="B513" t="s">
        <v>705</v>
      </c>
      <c r="C513" t="s">
        <v>591</v>
      </c>
      <c r="D513" t="s">
        <v>583</v>
      </c>
      <c r="E513">
        <v>79</v>
      </c>
      <c r="F513" t="s">
        <v>704</v>
      </c>
      <c r="G513" t="s">
        <v>1</v>
      </c>
      <c r="H513" s="26" t="s">
        <v>1420</v>
      </c>
      <c r="I513" t="s">
        <v>1</v>
      </c>
      <c r="J513" t="s">
        <v>1</v>
      </c>
      <c r="K513" t="s">
        <v>1</v>
      </c>
      <c r="L513" t="s">
        <v>1</v>
      </c>
      <c r="M513" t="s">
        <v>1</v>
      </c>
      <c r="N513" t="s">
        <v>1</v>
      </c>
      <c r="O513" t="s">
        <v>1</v>
      </c>
      <c r="P513" t="s">
        <v>1</v>
      </c>
      <c r="Q513" t="s">
        <v>1</v>
      </c>
      <c r="R513" t="s">
        <v>1</v>
      </c>
      <c r="S513" t="s">
        <v>1</v>
      </c>
      <c r="T513" t="s">
        <v>1</v>
      </c>
      <c r="U513" t="s">
        <v>1</v>
      </c>
      <c r="V513" t="s">
        <v>1</v>
      </c>
      <c r="W513" t="s">
        <v>1</v>
      </c>
      <c r="X513" t="s">
        <v>1</v>
      </c>
      <c r="Y513" t="s">
        <v>1</v>
      </c>
      <c r="Z513" t="s">
        <v>1</v>
      </c>
      <c r="AA513" t="s">
        <v>1</v>
      </c>
      <c r="AB513" t="s">
        <v>1</v>
      </c>
      <c r="AC513" t="s">
        <v>1</v>
      </c>
      <c r="AD513" t="s">
        <v>1</v>
      </c>
      <c r="AE513" t="s">
        <v>1</v>
      </c>
      <c r="AF513" t="s">
        <v>1</v>
      </c>
      <c r="AG513" t="s">
        <v>1</v>
      </c>
      <c r="AH513" t="s">
        <v>1</v>
      </c>
      <c r="AI513" t="s">
        <v>1</v>
      </c>
      <c r="AJ513" t="s">
        <v>1</v>
      </c>
      <c r="AK513" t="s">
        <v>1</v>
      </c>
      <c r="AL513" t="s">
        <v>1</v>
      </c>
      <c r="AM513" t="s">
        <v>1</v>
      </c>
      <c r="AN513">
        <v>481</v>
      </c>
      <c r="AO513">
        <f t="shared" si="69"/>
        <v>481</v>
      </c>
      <c r="AP513">
        <f t="shared" si="62"/>
        <v>79</v>
      </c>
      <c r="AQ513">
        <f t="shared" si="71"/>
        <v>79</v>
      </c>
      <c r="AR513" s="26" t="s">
        <v>1355</v>
      </c>
      <c r="AS513" s="26" t="s">
        <v>1356</v>
      </c>
      <c r="AT513" t="s">
        <v>730</v>
      </c>
      <c r="AU513" t="s">
        <v>1</v>
      </c>
      <c r="AV513" t="s">
        <v>1</v>
      </c>
      <c r="AW513">
        <v>59.67</v>
      </c>
      <c r="AX513">
        <v>10.77</v>
      </c>
      <c r="AY513" t="s">
        <v>737</v>
      </c>
      <c r="BA513" s="3">
        <v>2</v>
      </c>
      <c r="BB513" s="3"/>
      <c r="BC513" s="3"/>
      <c r="BD513" s="3"/>
      <c r="BE513" s="3"/>
      <c r="BF513">
        <v>1992</v>
      </c>
      <c r="BG513" s="24" t="s">
        <v>733</v>
      </c>
      <c r="BH513" s="24" t="s">
        <v>733</v>
      </c>
      <c r="BI513" s="24" t="s">
        <v>733</v>
      </c>
      <c r="BJ513" s="24" t="s">
        <v>732</v>
      </c>
      <c r="BK513" s="24" t="s">
        <v>733</v>
      </c>
      <c r="BL513" s="25" t="s">
        <v>733</v>
      </c>
      <c r="BM513" s="24" t="s">
        <v>733</v>
      </c>
      <c r="BN513" s="24" t="s">
        <v>732</v>
      </c>
      <c r="BO513" s="24" t="s">
        <v>733</v>
      </c>
      <c r="BP513" s="24" t="s">
        <v>733</v>
      </c>
      <c r="BQ513" s="24" t="s">
        <v>945</v>
      </c>
      <c r="BR513" s="24" t="s">
        <v>945</v>
      </c>
      <c r="BS513" s="25" t="s">
        <v>934</v>
      </c>
      <c r="BT513" s="24" t="s">
        <v>934</v>
      </c>
      <c r="BU513" s="24" t="s">
        <v>934</v>
      </c>
      <c r="BV513" s="24" t="s">
        <v>934</v>
      </c>
      <c r="BW513" s="24" t="s">
        <v>934</v>
      </c>
      <c r="BX513" s="24" t="s">
        <v>934</v>
      </c>
      <c r="BY513" s="25" t="s">
        <v>945</v>
      </c>
      <c r="BZ513" t="s">
        <v>1397</v>
      </c>
      <c r="CB513" t="s">
        <v>1408</v>
      </c>
      <c r="CC513" s="4">
        <f>SUM(457*4,610*3)/7*10*92%</f>
        <v>4807.6571428571424</v>
      </c>
      <c r="CD513" s="4"/>
      <c r="CE513" s="4"/>
      <c r="CF513" t="s">
        <v>793</v>
      </c>
      <c r="CG513">
        <v>100</v>
      </c>
      <c r="CH513" t="s">
        <v>805</v>
      </c>
      <c r="CI513" s="28">
        <f t="shared" si="70"/>
        <v>1.1125</v>
      </c>
      <c r="CJ513" s="10" t="s">
        <v>1442</v>
      </c>
      <c r="CK513" s="9" t="s">
        <v>1</v>
      </c>
      <c r="CL513" s="4" t="s">
        <v>1</v>
      </c>
      <c r="CM513" t="s">
        <v>847</v>
      </c>
      <c r="CN513" s="4">
        <f>14.7*10</f>
        <v>147</v>
      </c>
      <c r="CO513" s="4" t="s">
        <v>1</v>
      </c>
      <c r="CP513" s="4" t="s">
        <v>1</v>
      </c>
      <c r="CQ513" s="4" t="s">
        <v>1</v>
      </c>
      <c r="CR513" s="4" t="s">
        <v>1</v>
      </c>
      <c r="CS513" s="4" t="s">
        <v>1</v>
      </c>
      <c r="CT513" s="4" t="s">
        <v>1</v>
      </c>
      <c r="CU513" s="4" t="s">
        <v>1</v>
      </c>
      <c r="CV513" t="s">
        <v>851</v>
      </c>
      <c r="CW513">
        <v>100</v>
      </c>
      <c r="CX513" t="s">
        <v>1</v>
      </c>
      <c r="CY513" t="s">
        <v>1</v>
      </c>
      <c r="CZ513" s="26" t="s">
        <v>1358</v>
      </c>
      <c r="DA513" t="s">
        <v>734</v>
      </c>
      <c r="DB513">
        <v>30</v>
      </c>
      <c r="DC513" t="s">
        <v>1</v>
      </c>
      <c r="DD513" t="s">
        <v>1</v>
      </c>
      <c r="DE513" s="26" t="s">
        <v>1358</v>
      </c>
      <c r="DF513" t="s">
        <v>735</v>
      </c>
      <c r="DG513">
        <v>47.5</v>
      </c>
      <c r="DH513" t="s">
        <v>1</v>
      </c>
      <c r="DI513" t="s">
        <v>1</v>
      </c>
      <c r="DJ513" s="26" t="s">
        <v>1358</v>
      </c>
      <c r="DK513" t="s">
        <v>736</v>
      </c>
      <c r="DL513">
        <v>22.5</v>
      </c>
      <c r="DM513" t="s">
        <v>1</v>
      </c>
      <c r="DN513" t="s">
        <v>1</v>
      </c>
      <c r="DO513" s="26" t="s">
        <v>1358</v>
      </c>
      <c r="DP513" t="s">
        <v>1</v>
      </c>
      <c r="DQ513" t="s">
        <v>1</v>
      </c>
      <c r="DR513" t="s">
        <v>1</v>
      </c>
      <c r="DS513" t="s">
        <v>1</v>
      </c>
      <c r="DT513" t="s">
        <v>1</v>
      </c>
      <c r="DU513" t="s">
        <v>1</v>
      </c>
      <c r="EA513" t="s">
        <v>982</v>
      </c>
      <c r="EB513">
        <v>24</v>
      </c>
      <c r="EC513" s="39">
        <v>0</v>
      </c>
      <c r="ED513" s="39">
        <v>30</v>
      </c>
      <c r="EE513" s="26" t="s">
        <v>1358</v>
      </c>
      <c r="EF513" t="s">
        <v>1464</v>
      </c>
      <c r="FZ513" t="s">
        <v>806</v>
      </c>
      <c r="GA513">
        <v>865</v>
      </c>
      <c r="GE513" s="26" t="s">
        <v>1358</v>
      </c>
      <c r="HA513" s="5" t="s">
        <v>1</v>
      </c>
      <c r="HB513" s="4" t="s">
        <v>1</v>
      </c>
      <c r="HC513" t="s">
        <v>1</v>
      </c>
      <c r="HD513" t="s">
        <v>1</v>
      </c>
      <c r="HE513" t="s">
        <v>1</v>
      </c>
      <c r="HF513" s="5" t="s">
        <v>1063</v>
      </c>
      <c r="HG513" s="4">
        <v>2.1</v>
      </c>
      <c r="HH513" t="s">
        <v>1</v>
      </c>
      <c r="HI513" t="s">
        <v>1</v>
      </c>
      <c r="HJ513" s="26" t="s">
        <v>1358</v>
      </c>
      <c r="HK513" t="s">
        <v>1</v>
      </c>
      <c r="HL513" t="s">
        <v>1</v>
      </c>
      <c r="HM513" t="s">
        <v>1</v>
      </c>
      <c r="HN513" t="s">
        <v>1</v>
      </c>
      <c r="HO513" t="s">
        <v>1</v>
      </c>
      <c r="HP513" t="s">
        <v>1</v>
      </c>
      <c r="HZ513" t="s">
        <v>966</v>
      </c>
      <c r="IA513">
        <v>166</v>
      </c>
      <c r="IB513" s="5" t="s">
        <v>1</v>
      </c>
      <c r="IC513" s="5"/>
      <c r="ID513" s="5"/>
      <c r="IE513" s="10" t="s">
        <v>1</v>
      </c>
      <c r="IF513" s="10" t="s">
        <v>1</v>
      </c>
      <c r="IG513" s="10"/>
      <c r="IH513" s="10"/>
      <c r="II513" s="10"/>
      <c r="IJ513" s="10"/>
      <c r="IK513" s="10"/>
      <c r="IL513" s="10"/>
      <c r="IM513" s="10"/>
      <c r="IN513" s="10"/>
      <c r="IO513" s="10"/>
      <c r="IP513" s="10"/>
      <c r="IQ513" s="10"/>
      <c r="IR513" s="10"/>
      <c r="IS513" t="s">
        <v>1</v>
      </c>
      <c r="IT513" t="s">
        <v>1</v>
      </c>
      <c r="IW513" t="s">
        <v>1</v>
      </c>
      <c r="IX513" t="s">
        <v>1</v>
      </c>
      <c r="IY513" t="s">
        <v>808</v>
      </c>
      <c r="IZ513">
        <v>350</v>
      </c>
      <c r="JA513" t="s">
        <v>1065</v>
      </c>
      <c r="JB513" s="3">
        <v>10</v>
      </c>
      <c r="JC513" t="s">
        <v>1</v>
      </c>
      <c r="JD513" s="4" t="s">
        <v>1</v>
      </c>
      <c r="JE513" t="s">
        <v>1</v>
      </c>
      <c r="JF513" t="s">
        <v>1</v>
      </c>
      <c r="JR513" t="s">
        <v>1066</v>
      </c>
      <c r="JS513">
        <v>283.3</v>
      </c>
      <c r="JU513" t="s">
        <v>1</v>
      </c>
      <c r="JW513" t="s">
        <v>1</v>
      </c>
      <c r="JX513">
        <v>0</v>
      </c>
      <c r="JY513">
        <v>110.00000000000001</v>
      </c>
      <c r="JZ513" t="s">
        <v>796</v>
      </c>
      <c r="KA513" t="s">
        <v>585</v>
      </c>
      <c r="KB513" t="s">
        <v>738</v>
      </c>
      <c r="KC513" t="s">
        <v>1</v>
      </c>
      <c r="KD513" t="s">
        <v>1</v>
      </c>
      <c r="KE513" t="s">
        <v>1</v>
      </c>
      <c r="KF513" t="s">
        <v>1</v>
      </c>
      <c r="KG513" t="s">
        <v>1</v>
      </c>
      <c r="KH513" t="s">
        <v>1</v>
      </c>
      <c r="KI513" t="s">
        <v>1</v>
      </c>
      <c r="KJ513" t="s">
        <v>1</v>
      </c>
      <c r="KK513" t="s">
        <v>1</v>
      </c>
    </row>
    <row r="514" spans="1:297" x14ac:dyDescent="0.2">
      <c r="A514">
        <v>482</v>
      </c>
      <c r="B514" t="s">
        <v>705</v>
      </c>
      <c r="C514" t="s">
        <v>592</v>
      </c>
      <c r="D514" t="s">
        <v>583</v>
      </c>
      <c r="E514">
        <v>79</v>
      </c>
      <c r="F514" t="s">
        <v>704</v>
      </c>
      <c r="G514" t="s">
        <v>1</v>
      </c>
      <c r="H514" s="26" t="s">
        <v>1420</v>
      </c>
      <c r="I514" t="s">
        <v>1</v>
      </c>
      <c r="J514" t="s">
        <v>1</v>
      </c>
      <c r="K514" t="s">
        <v>1</v>
      </c>
      <c r="L514" t="s">
        <v>1</v>
      </c>
      <c r="M514" t="s">
        <v>1</v>
      </c>
      <c r="N514" t="s">
        <v>1</v>
      </c>
      <c r="O514" t="s">
        <v>1</v>
      </c>
      <c r="P514" t="s">
        <v>1</v>
      </c>
      <c r="Q514" t="s">
        <v>1</v>
      </c>
      <c r="R514" t="s">
        <v>1</v>
      </c>
      <c r="S514" t="s">
        <v>1</v>
      </c>
      <c r="T514" t="s">
        <v>1</v>
      </c>
      <c r="U514" t="s">
        <v>1</v>
      </c>
      <c r="V514" t="s">
        <v>1</v>
      </c>
      <c r="W514" t="s">
        <v>1</v>
      </c>
      <c r="X514" t="s">
        <v>1</v>
      </c>
      <c r="Y514" t="s">
        <v>1</v>
      </c>
      <c r="Z514" t="s">
        <v>1</v>
      </c>
      <c r="AA514" t="s">
        <v>1</v>
      </c>
      <c r="AB514" t="s">
        <v>1</v>
      </c>
      <c r="AC514" t="s">
        <v>1</v>
      </c>
      <c r="AD514" t="s">
        <v>1</v>
      </c>
      <c r="AE514" t="s">
        <v>1</v>
      </c>
      <c r="AF514" t="s">
        <v>1</v>
      </c>
      <c r="AG514" t="s">
        <v>1</v>
      </c>
      <c r="AH514" t="s">
        <v>1</v>
      </c>
      <c r="AI514" t="s">
        <v>1</v>
      </c>
      <c r="AJ514" t="s">
        <v>1</v>
      </c>
      <c r="AK514" t="s">
        <v>1</v>
      </c>
      <c r="AL514" t="s">
        <v>1</v>
      </c>
      <c r="AM514" t="s">
        <v>1</v>
      </c>
      <c r="AN514">
        <v>482</v>
      </c>
      <c r="AO514">
        <f t="shared" si="69"/>
        <v>482</v>
      </c>
      <c r="AP514">
        <f t="shared" ref="AP514:AP577" si="72">E514</f>
        <v>79</v>
      </c>
      <c r="AQ514">
        <f t="shared" si="71"/>
        <v>79</v>
      </c>
      <c r="AR514" s="26" t="s">
        <v>1355</v>
      </c>
      <c r="AS514" s="26" t="s">
        <v>1356</v>
      </c>
      <c r="AT514" t="s">
        <v>730</v>
      </c>
      <c r="AU514" t="s">
        <v>1</v>
      </c>
      <c r="AV514" t="s">
        <v>1</v>
      </c>
      <c r="AW514">
        <v>59.67</v>
      </c>
      <c r="AX514">
        <v>10.77</v>
      </c>
      <c r="AY514" t="s">
        <v>737</v>
      </c>
      <c r="BA514" s="3">
        <v>2</v>
      </c>
      <c r="BB514" s="3"/>
      <c r="BC514" s="3"/>
      <c r="BD514" s="3"/>
      <c r="BE514" s="3"/>
      <c r="BF514">
        <v>1992</v>
      </c>
      <c r="BG514" s="24" t="s">
        <v>733</v>
      </c>
      <c r="BH514" s="24" t="s">
        <v>733</v>
      </c>
      <c r="BI514" s="24" t="s">
        <v>733</v>
      </c>
      <c r="BJ514" s="24" t="s">
        <v>732</v>
      </c>
      <c r="BK514" s="24" t="s">
        <v>733</v>
      </c>
      <c r="BL514" s="25" t="s">
        <v>733</v>
      </c>
      <c r="BM514" s="24" t="s">
        <v>733</v>
      </c>
      <c r="BN514" s="24" t="s">
        <v>732</v>
      </c>
      <c r="BO514" s="24" t="s">
        <v>733</v>
      </c>
      <c r="BP514" s="24" t="s">
        <v>733</v>
      </c>
      <c r="BQ514" s="24" t="s">
        <v>945</v>
      </c>
      <c r="BR514" s="24" t="s">
        <v>945</v>
      </c>
      <c r="BS514" s="25" t="s">
        <v>934</v>
      </c>
      <c r="BT514" s="24" t="s">
        <v>934</v>
      </c>
      <c r="BU514" s="24" t="s">
        <v>934</v>
      </c>
      <c r="BV514" s="24" t="s">
        <v>934</v>
      </c>
      <c r="BW514" s="24" t="s">
        <v>934</v>
      </c>
      <c r="BX514" s="24" t="s">
        <v>934</v>
      </c>
      <c r="BY514" s="25" t="s">
        <v>945</v>
      </c>
      <c r="BZ514" t="s">
        <v>1397</v>
      </c>
      <c r="CB514" t="s">
        <v>1408</v>
      </c>
      <c r="CC514" s="4">
        <f>SUM(438*4,617*3)/7*10*92%</f>
        <v>4735.3714285714286</v>
      </c>
      <c r="CD514" s="4"/>
      <c r="CE514" s="4"/>
      <c r="CF514" t="s">
        <v>793</v>
      </c>
      <c r="CG514">
        <v>100</v>
      </c>
      <c r="CH514" t="s">
        <v>805</v>
      </c>
      <c r="CI514" s="28">
        <f t="shared" si="70"/>
        <v>1.1125</v>
      </c>
      <c r="CJ514" s="10" t="s">
        <v>1442</v>
      </c>
      <c r="CK514" s="9" t="s">
        <v>1</v>
      </c>
      <c r="CL514" s="4" t="s">
        <v>1</v>
      </c>
      <c r="CM514" t="s">
        <v>847</v>
      </c>
      <c r="CN514" s="4">
        <f>14.9*10</f>
        <v>149</v>
      </c>
      <c r="CO514" s="4" t="s">
        <v>1</v>
      </c>
      <c r="CP514" s="4" t="s">
        <v>1</v>
      </c>
      <c r="CQ514" s="4" t="s">
        <v>1</v>
      </c>
      <c r="CR514" s="4" t="s">
        <v>1</v>
      </c>
      <c r="CS514" s="4" t="s">
        <v>1</v>
      </c>
      <c r="CT514" s="4" t="s">
        <v>1</v>
      </c>
      <c r="CU514" s="4" t="s">
        <v>1</v>
      </c>
      <c r="CV514" t="s">
        <v>851</v>
      </c>
      <c r="CW514">
        <v>100</v>
      </c>
      <c r="CX514" t="s">
        <v>1</v>
      </c>
      <c r="CY514" t="s">
        <v>1</v>
      </c>
      <c r="CZ514" s="26" t="s">
        <v>1358</v>
      </c>
      <c r="DA514" t="s">
        <v>734</v>
      </c>
      <c r="DB514">
        <v>30</v>
      </c>
      <c r="DC514" t="s">
        <v>1</v>
      </c>
      <c r="DD514" t="s">
        <v>1</v>
      </c>
      <c r="DE514" s="26" t="s">
        <v>1358</v>
      </c>
      <c r="DF514" t="s">
        <v>735</v>
      </c>
      <c r="DG514">
        <v>47.5</v>
      </c>
      <c r="DH514" t="s">
        <v>1</v>
      </c>
      <c r="DI514" t="s">
        <v>1</v>
      </c>
      <c r="DJ514" s="26" t="s">
        <v>1358</v>
      </c>
      <c r="DK514" t="s">
        <v>736</v>
      </c>
      <c r="DL514">
        <v>22.5</v>
      </c>
      <c r="DM514" t="s">
        <v>1</v>
      </c>
      <c r="DN514" t="s">
        <v>1</v>
      </c>
      <c r="DO514" s="26" t="s">
        <v>1358</v>
      </c>
      <c r="DP514" t="s">
        <v>1</v>
      </c>
      <c r="DQ514" t="s">
        <v>1</v>
      </c>
      <c r="DR514" t="s">
        <v>1</v>
      </c>
      <c r="DS514" t="s">
        <v>1</v>
      </c>
      <c r="DT514" t="s">
        <v>1</v>
      </c>
      <c r="DU514" t="s">
        <v>1</v>
      </c>
      <c r="EA514" t="s">
        <v>982</v>
      </c>
      <c r="EB514">
        <v>24</v>
      </c>
      <c r="EC514" s="39">
        <v>0</v>
      </c>
      <c r="ED514" s="39">
        <v>30</v>
      </c>
      <c r="EE514" s="26" t="s">
        <v>1358</v>
      </c>
      <c r="EF514" t="s">
        <v>1464</v>
      </c>
      <c r="FZ514" t="s">
        <v>806</v>
      </c>
      <c r="GA514">
        <v>865</v>
      </c>
      <c r="GE514" s="26" t="s">
        <v>1358</v>
      </c>
      <c r="HA514" s="5" t="s">
        <v>1</v>
      </c>
      <c r="HB514" s="4" t="s">
        <v>1</v>
      </c>
      <c r="HC514" t="s">
        <v>1</v>
      </c>
      <c r="HD514" t="s">
        <v>1</v>
      </c>
      <c r="HE514" t="s">
        <v>1</v>
      </c>
      <c r="HF514" s="5" t="s">
        <v>1063</v>
      </c>
      <c r="HG514" s="4">
        <v>2.1</v>
      </c>
      <c r="HH514" t="s">
        <v>1</v>
      </c>
      <c r="HI514" t="s">
        <v>1</v>
      </c>
      <c r="HJ514" s="26" t="s">
        <v>1358</v>
      </c>
      <c r="HK514" t="s">
        <v>1</v>
      </c>
      <c r="HL514" t="s">
        <v>1</v>
      </c>
      <c r="HM514" t="s">
        <v>1</v>
      </c>
      <c r="HN514" t="s">
        <v>1</v>
      </c>
      <c r="HO514" t="s">
        <v>1</v>
      </c>
      <c r="HP514" t="s">
        <v>1</v>
      </c>
      <c r="HZ514" t="s">
        <v>1295</v>
      </c>
      <c r="IA514">
        <v>166</v>
      </c>
      <c r="IB514" s="5" t="s">
        <v>839</v>
      </c>
      <c r="IC514" s="5"/>
      <c r="ID514" s="5"/>
      <c r="IE514" s="10" t="s">
        <v>1</v>
      </c>
      <c r="IF514" s="10" t="s">
        <v>1</v>
      </c>
      <c r="IG514" s="10"/>
      <c r="IH514" s="10"/>
      <c r="II514" s="10"/>
      <c r="IJ514" s="10"/>
      <c r="IK514" s="10"/>
      <c r="IL514" s="10"/>
      <c r="IM514" s="10"/>
      <c r="IN514" s="10"/>
      <c r="IO514" s="10"/>
      <c r="IP514" s="10"/>
      <c r="IQ514" s="10"/>
      <c r="IR514" s="10"/>
      <c r="IS514" t="s">
        <v>1</v>
      </c>
      <c r="IT514" t="s">
        <v>1</v>
      </c>
      <c r="IW514" t="s">
        <v>1</v>
      </c>
      <c r="IX514" t="s">
        <v>1</v>
      </c>
      <c r="IY514" t="s">
        <v>808</v>
      </c>
      <c r="IZ514">
        <v>350</v>
      </c>
      <c r="JA514" t="s">
        <v>1065</v>
      </c>
      <c r="JB514" s="3">
        <v>10</v>
      </c>
      <c r="JC514" t="s">
        <v>1</v>
      </c>
      <c r="JD514" s="4" t="s">
        <v>1</v>
      </c>
      <c r="JE514" t="s">
        <v>1</v>
      </c>
      <c r="JF514" t="s">
        <v>1</v>
      </c>
      <c r="JR514" t="s">
        <v>1066</v>
      </c>
      <c r="JS514">
        <v>296.60000000000002</v>
      </c>
      <c r="JU514" t="s">
        <v>1</v>
      </c>
      <c r="JW514" t="s">
        <v>1</v>
      </c>
      <c r="JX514">
        <v>0</v>
      </c>
      <c r="JY514">
        <v>110.00000000000001</v>
      </c>
      <c r="JZ514" t="s">
        <v>796</v>
      </c>
      <c r="KA514" t="s">
        <v>585</v>
      </c>
      <c r="KB514" t="s">
        <v>738</v>
      </c>
      <c r="KC514" t="s">
        <v>1</v>
      </c>
      <c r="KD514" t="s">
        <v>1</v>
      </c>
      <c r="KE514" t="s">
        <v>1</v>
      </c>
      <c r="KF514" t="s">
        <v>1</v>
      </c>
      <c r="KG514" t="s">
        <v>1</v>
      </c>
      <c r="KH514" t="s">
        <v>1</v>
      </c>
      <c r="KI514" t="s">
        <v>1</v>
      </c>
      <c r="KJ514" t="s">
        <v>1</v>
      </c>
      <c r="KK514" t="s">
        <v>1</v>
      </c>
    </row>
    <row r="515" spans="1:297" x14ac:dyDescent="0.2">
      <c r="A515">
        <v>483</v>
      </c>
      <c r="B515" t="s">
        <v>705</v>
      </c>
      <c r="C515" t="s">
        <v>593</v>
      </c>
      <c r="D515" t="s">
        <v>583</v>
      </c>
      <c r="E515">
        <v>79</v>
      </c>
      <c r="F515" t="s">
        <v>704</v>
      </c>
      <c r="G515" t="s">
        <v>1</v>
      </c>
      <c r="H515" s="26" t="s">
        <v>1420</v>
      </c>
      <c r="I515" t="s">
        <v>1</v>
      </c>
      <c r="J515" t="s">
        <v>1</v>
      </c>
      <c r="K515" t="s">
        <v>1</v>
      </c>
      <c r="L515" t="s">
        <v>1</v>
      </c>
      <c r="M515" t="s">
        <v>1</v>
      </c>
      <c r="N515" t="s">
        <v>1</v>
      </c>
      <c r="O515" t="s">
        <v>1</v>
      </c>
      <c r="P515" t="s">
        <v>1</v>
      </c>
      <c r="Q515" t="s">
        <v>1</v>
      </c>
      <c r="R515" t="s">
        <v>1</v>
      </c>
      <c r="S515" t="s">
        <v>1</v>
      </c>
      <c r="T515" t="s">
        <v>1</v>
      </c>
      <c r="U515" t="s">
        <v>1</v>
      </c>
      <c r="V515" t="s">
        <v>1</v>
      </c>
      <c r="W515" t="s">
        <v>1</v>
      </c>
      <c r="X515" t="s">
        <v>1</v>
      </c>
      <c r="Y515" t="s">
        <v>1</v>
      </c>
      <c r="Z515" t="s">
        <v>1</v>
      </c>
      <c r="AA515" t="s">
        <v>1</v>
      </c>
      <c r="AB515" t="s">
        <v>1</v>
      </c>
      <c r="AC515" t="s">
        <v>1</v>
      </c>
      <c r="AD515" t="s">
        <v>1</v>
      </c>
      <c r="AE515" t="s">
        <v>1</v>
      </c>
      <c r="AF515" t="s">
        <v>1</v>
      </c>
      <c r="AG515" t="s">
        <v>1</v>
      </c>
      <c r="AH515" t="s">
        <v>1</v>
      </c>
      <c r="AI515" t="s">
        <v>1</v>
      </c>
      <c r="AJ515" t="s">
        <v>1</v>
      </c>
      <c r="AK515" t="s">
        <v>1</v>
      </c>
      <c r="AL515" t="s">
        <v>1</v>
      </c>
      <c r="AM515" t="s">
        <v>1</v>
      </c>
      <c r="AN515">
        <v>483</v>
      </c>
      <c r="AO515">
        <f t="shared" si="69"/>
        <v>483</v>
      </c>
      <c r="AP515">
        <f t="shared" si="72"/>
        <v>79</v>
      </c>
      <c r="AQ515">
        <f t="shared" si="71"/>
        <v>79</v>
      </c>
      <c r="AR515" s="26" t="s">
        <v>1355</v>
      </c>
      <c r="AS515" s="26" t="s">
        <v>1356</v>
      </c>
      <c r="AT515" t="s">
        <v>730</v>
      </c>
      <c r="AU515" t="s">
        <v>1</v>
      </c>
      <c r="AV515" t="s">
        <v>1</v>
      </c>
      <c r="AW515">
        <v>59.67</v>
      </c>
      <c r="AX515">
        <v>10.77</v>
      </c>
      <c r="AY515" t="s">
        <v>737</v>
      </c>
      <c r="BA515" s="3">
        <v>2</v>
      </c>
      <c r="BB515" s="3"/>
      <c r="BC515" s="3"/>
      <c r="BD515" s="3"/>
      <c r="BE515" s="3"/>
      <c r="BF515">
        <v>1992</v>
      </c>
      <c r="BG515" s="24" t="s">
        <v>733</v>
      </c>
      <c r="BH515" s="24" t="s">
        <v>733</v>
      </c>
      <c r="BI515" s="24" t="s">
        <v>733</v>
      </c>
      <c r="BJ515" s="24" t="s">
        <v>732</v>
      </c>
      <c r="BK515" s="24" t="s">
        <v>733</v>
      </c>
      <c r="BL515" s="25" t="s">
        <v>733</v>
      </c>
      <c r="BM515" s="24" t="s">
        <v>733</v>
      </c>
      <c r="BN515" s="24" t="s">
        <v>732</v>
      </c>
      <c r="BO515" s="24" t="s">
        <v>733</v>
      </c>
      <c r="BP515" s="24" t="s">
        <v>733</v>
      </c>
      <c r="BQ515" s="24" t="s">
        <v>945</v>
      </c>
      <c r="BR515" s="24" t="s">
        <v>945</v>
      </c>
      <c r="BS515" s="25" t="s">
        <v>934</v>
      </c>
      <c r="BT515" s="24" t="s">
        <v>934</v>
      </c>
      <c r="BU515" s="24" t="s">
        <v>934</v>
      </c>
      <c r="BV515" s="24" t="s">
        <v>934</v>
      </c>
      <c r="BW515" s="24" t="s">
        <v>934</v>
      </c>
      <c r="BX515" s="24" t="s">
        <v>934</v>
      </c>
      <c r="BY515" s="25" t="s">
        <v>945</v>
      </c>
      <c r="BZ515" t="s">
        <v>1397</v>
      </c>
      <c r="CB515" t="s">
        <v>1408</v>
      </c>
      <c r="CC515" s="4">
        <f>SUM(463*4,653*3)/7*10*92%</f>
        <v>5008.7428571428582</v>
      </c>
      <c r="CD515" s="4"/>
      <c r="CE515" s="4"/>
      <c r="CF515" t="s">
        <v>793</v>
      </c>
      <c r="CG515">
        <v>100</v>
      </c>
      <c r="CH515" t="s">
        <v>805</v>
      </c>
      <c r="CI515" s="28">
        <f t="shared" si="70"/>
        <v>1.1125</v>
      </c>
      <c r="CJ515" s="10" t="s">
        <v>1442</v>
      </c>
      <c r="CK515" s="9" t="s">
        <v>1</v>
      </c>
      <c r="CL515" s="4" t="s">
        <v>1</v>
      </c>
      <c r="CM515" t="s">
        <v>847</v>
      </c>
      <c r="CN515" s="4">
        <f>16*10</f>
        <v>160</v>
      </c>
      <c r="CO515" s="4" t="s">
        <v>1</v>
      </c>
      <c r="CP515" s="4" t="s">
        <v>1</v>
      </c>
      <c r="CQ515" s="4" t="s">
        <v>1</v>
      </c>
      <c r="CR515" s="4" t="s">
        <v>1</v>
      </c>
      <c r="CS515" s="4" t="s">
        <v>1</v>
      </c>
      <c r="CT515" s="4" t="s">
        <v>1</v>
      </c>
      <c r="CU515" s="4" t="s">
        <v>1</v>
      </c>
      <c r="CV515" t="s">
        <v>851</v>
      </c>
      <c r="CW515">
        <v>100</v>
      </c>
      <c r="CX515" t="s">
        <v>1</v>
      </c>
      <c r="CY515" t="s">
        <v>1</v>
      </c>
      <c r="CZ515" s="26" t="s">
        <v>1358</v>
      </c>
      <c r="DA515" t="s">
        <v>734</v>
      </c>
      <c r="DB515">
        <v>30</v>
      </c>
      <c r="DC515" t="s">
        <v>1</v>
      </c>
      <c r="DD515" t="s">
        <v>1</v>
      </c>
      <c r="DE515" s="26" t="s">
        <v>1358</v>
      </c>
      <c r="DF515" t="s">
        <v>735</v>
      </c>
      <c r="DG515">
        <v>47.5</v>
      </c>
      <c r="DH515" t="s">
        <v>1</v>
      </c>
      <c r="DI515" t="s">
        <v>1</v>
      </c>
      <c r="DJ515" s="26" t="s">
        <v>1358</v>
      </c>
      <c r="DK515" t="s">
        <v>736</v>
      </c>
      <c r="DL515">
        <v>22.5</v>
      </c>
      <c r="DM515" t="s">
        <v>1</v>
      </c>
      <c r="DN515" t="s">
        <v>1</v>
      </c>
      <c r="DO515" s="26" t="s">
        <v>1358</v>
      </c>
      <c r="DP515" t="s">
        <v>1</v>
      </c>
      <c r="DQ515" t="s">
        <v>1</v>
      </c>
      <c r="DR515" t="s">
        <v>1</v>
      </c>
      <c r="DS515" t="s">
        <v>1</v>
      </c>
      <c r="DT515" t="s">
        <v>1</v>
      </c>
      <c r="DU515" t="s">
        <v>1</v>
      </c>
      <c r="EA515" t="s">
        <v>982</v>
      </c>
      <c r="EB515">
        <v>24</v>
      </c>
      <c r="EC515" s="39">
        <v>0</v>
      </c>
      <c r="ED515" s="39">
        <v>30</v>
      </c>
      <c r="EE515" s="26" t="s">
        <v>1358</v>
      </c>
      <c r="EF515" t="s">
        <v>1464</v>
      </c>
      <c r="FZ515" t="s">
        <v>806</v>
      </c>
      <c r="GA515">
        <v>865</v>
      </c>
      <c r="GE515" s="26" t="s">
        <v>1358</v>
      </c>
      <c r="HA515" s="5" t="s">
        <v>1</v>
      </c>
      <c r="HB515" s="4" t="s">
        <v>1</v>
      </c>
      <c r="HC515" t="s">
        <v>1</v>
      </c>
      <c r="HD515" t="s">
        <v>1</v>
      </c>
      <c r="HE515" t="s">
        <v>1</v>
      </c>
      <c r="HF515" s="5" t="s">
        <v>1063</v>
      </c>
      <c r="HG515" s="4">
        <v>2.1</v>
      </c>
      <c r="HH515" t="s">
        <v>1</v>
      </c>
      <c r="HI515" t="s">
        <v>1</v>
      </c>
      <c r="HJ515" s="26" t="s">
        <v>1358</v>
      </c>
      <c r="HK515" t="s">
        <v>1</v>
      </c>
      <c r="HL515" t="s">
        <v>1</v>
      </c>
      <c r="HM515" t="s">
        <v>1</v>
      </c>
      <c r="HN515" t="s">
        <v>1</v>
      </c>
      <c r="HO515" t="s">
        <v>1</v>
      </c>
      <c r="HP515" t="s">
        <v>1</v>
      </c>
      <c r="HZ515" t="s">
        <v>966</v>
      </c>
      <c r="IA515">
        <v>194</v>
      </c>
      <c r="IB515" s="5" t="s">
        <v>1</v>
      </c>
      <c r="IC515" s="5"/>
      <c r="ID515" s="5"/>
      <c r="IE515" s="10" t="s">
        <v>1</v>
      </c>
      <c r="IF515" s="10" t="s">
        <v>1</v>
      </c>
      <c r="IG515" s="10"/>
      <c r="IH515" s="10"/>
      <c r="II515" s="10"/>
      <c r="IJ515" s="10"/>
      <c r="IK515" s="10"/>
      <c r="IL515" s="10"/>
      <c r="IM515" s="10"/>
      <c r="IN515" s="10"/>
      <c r="IO515" s="10"/>
      <c r="IP515" s="10"/>
      <c r="IQ515" s="10"/>
      <c r="IR515" s="10"/>
      <c r="IS515" t="s">
        <v>1</v>
      </c>
      <c r="IT515" t="s">
        <v>1</v>
      </c>
      <c r="IW515" t="s">
        <v>1</v>
      </c>
      <c r="IX515" t="s">
        <v>1</v>
      </c>
      <c r="IY515" t="s">
        <v>808</v>
      </c>
      <c r="IZ515">
        <v>350</v>
      </c>
      <c r="JA515" t="s">
        <v>1065</v>
      </c>
      <c r="JB515" s="3">
        <v>10</v>
      </c>
      <c r="JC515" t="s">
        <v>1</v>
      </c>
      <c r="JD515" s="4" t="s">
        <v>1</v>
      </c>
      <c r="JE515" t="s">
        <v>1</v>
      </c>
      <c r="JF515" t="s">
        <v>1</v>
      </c>
      <c r="JR515" t="s">
        <v>1066</v>
      </c>
      <c r="JS515">
        <v>340.9</v>
      </c>
      <c r="JU515" t="s">
        <v>1</v>
      </c>
      <c r="JW515" t="s">
        <v>1</v>
      </c>
      <c r="JX515">
        <v>0</v>
      </c>
      <c r="JY515">
        <v>110.00000000000001</v>
      </c>
      <c r="JZ515" t="s">
        <v>796</v>
      </c>
      <c r="KA515" t="s">
        <v>585</v>
      </c>
      <c r="KB515" t="s">
        <v>738</v>
      </c>
      <c r="KC515" t="s">
        <v>1</v>
      </c>
      <c r="KD515" t="s">
        <v>1</v>
      </c>
      <c r="KE515" t="s">
        <v>1</v>
      </c>
      <c r="KF515" t="s">
        <v>1</v>
      </c>
      <c r="KG515" t="s">
        <v>1</v>
      </c>
      <c r="KH515" t="s">
        <v>1</v>
      </c>
      <c r="KI515" t="s">
        <v>1</v>
      </c>
      <c r="KJ515" t="s">
        <v>1</v>
      </c>
      <c r="KK515" t="s">
        <v>1</v>
      </c>
    </row>
    <row r="516" spans="1:297" x14ac:dyDescent="0.2">
      <c r="A516">
        <v>484</v>
      </c>
      <c r="B516" t="s">
        <v>705</v>
      </c>
      <c r="C516" t="s">
        <v>594</v>
      </c>
      <c r="D516" t="s">
        <v>583</v>
      </c>
      <c r="E516">
        <v>79</v>
      </c>
      <c r="F516" t="s">
        <v>704</v>
      </c>
      <c r="G516" t="s">
        <v>1</v>
      </c>
      <c r="H516" s="26" t="s">
        <v>1420</v>
      </c>
      <c r="I516" t="s">
        <v>1</v>
      </c>
      <c r="J516" t="s">
        <v>1</v>
      </c>
      <c r="K516" t="s">
        <v>1</v>
      </c>
      <c r="L516" t="s">
        <v>1</v>
      </c>
      <c r="M516" t="s">
        <v>1</v>
      </c>
      <c r="N516" t="s">
        <v>1</v>
      </c>
      <c r="O516" t="s">
        <v>1</v>
      </c>
      <c r="P516" t="s">
        <v>1</v>
      </c>
      <c r="Q516" t="s">
        <v>1</v>
      </c>
      <c r="R516" t="s">
        <v>1</v>
      </c>
      <c r="S516" t="s">
        <v>1</v>
      </c>
      <c r="T516" t="s">
        <v>1</v>
      </c>
      <c r="U516" t="s">
        <v>1</v>
      </c>
      <c r="V516" t="s">
        <v>1</v>
      </c>
      <c r="W516" t="s">
        <v>1</v>
      </c>
      <c r="X516" t="s">
        <v>1</v>
      </c>
      <c r="Y516" t="s">
        <v>1</v>
      </c>
      <c r="Z516" t="s">
        <v>1</v>
      </c>
      <c r="AA516" t="s">
        <v>1</v>
      </c>
      <c r="AB516" t="s">
        <v>1</v>
      </c>
      <c r="AC516" t="s">
        <v>1</v>
      </c>
      <c r="AD516" t="s">
        <v>1</v>
      </c>
      <c r="AE516" t="s">
        <v>1</v>
      </c>
      <c r="AF516" t="s">
        <v>1</v>
      </c>
      <c r="AG516" t="s">
        <v>1</v>
      </c>
      <c r="AH516" t="s">
        <v>1</v>
      </c>
      <c r="AI516" t="s">
        <v>1</v>
      </c>
      <c r="AJ516" t="s">
        <v>1</v>
      </c>
      <c r="AK516" t="s">
        <v>1</v>
      </c>
      <c r="AL516" t="s">
        <v>1</v>
      </c>
      <c r="AM516" t="s">
        <v>1</v>
      </c>
      <c r="AN516">
        <v>484</v>
      </c>
      <c r="AO516">
        <f t="shared" si="69"/>
        <v>484</v>
      </c>
      <c r="AP516">
        <f t="shared" si="72"/>
        <v>79</v>
      </c>
      <c r="AQ516">
        <f t="shared" si="71"/>
        <v>79</v>
      </c>
      <c r="AR516" s="26" t="s">
        <v>1355</v>
      </c>
      <c r="AS516" s="26" t="s">
        <v>1356</v>
      </c>
      <c r="AT516" t="s">
        <v>730</v>
      </c>
      <c r="AU516" t="s">
        <v>1</v>
      </c>
      <c r="AV516" t="s">
        <v>1</v>
      </c>
      <c r="AW516">
        <v>59.67</v>
      </c>
      <c r="AX516">
        <v>10.77</v>
      </c>
      <c r="AY516" t="s">
        <v>737</v>
      </c>
      <c r="BA516" s="3">
        <v>2</v>
      </c>
      <c r="BB516" s="3"/>
      <c r="BC516" s="3"/>
      <c r="BD516" s="3"/>
      <c r="BE516" s="3"/>
      <c r="BF516">
        <v>1992</v>
      </c>
      <c r="BG516" s="24" t="s">
        <v>733</v>
      </c>
      <c r="BH516" s="24" t="s">
        <v>733</v>
      </c>
      <c r="BI516" s="24" t="s">
        <v>733</v>
      </c>
      <c r="BJ516" s="24" t="s">
        <v>732</v>
      </c>
      <c r="BK516" s="24" t="s">
        <v>733</v>
      </c>
      <c r="BL516" s="25" t="s">
        <v>733</v>
      </c>
      <c r="BM516" s="24" t="s">
        <v>733</v>
      </c>
      <c r="BN516" s="24" t="s">
        <v>732</v>
      </c>
      <c r="BO516" s="24" t="s">
        <v>733</v>
      </c>
      <c r="BP516" s="24" t="s">
        <v>733</v>
      </c>
      <c r="BQ516" s="24" t="s">
        <v>945</v>
      </c>
      <c r="BR516" s="24" t="s">
        <v>945</v>
      </c>
      <c r="BS516" s="25" t="s">
        <v>934</v>
      </c>
      <c r="BT516" s="24" t="s">
        <v>934</v>
      </c>
      <c r="BU516" s="24" t="s">
        <v>934</v>
      </c>
      <c r="BV516" s="24" t="s">
        <v>934</v>
      </c>
      <c r="BW516" s="24" t="s">
        <v>934</v>
      </c>
      <c r="BX516" s="24" t="s">
        <v>934</v>
      </c>
      <c r="BY516" s="25" t="s">
        <v>945</v>
      </c>
      <c r="BZ516" t="s">
        <v>1397</v>
      </c>
      <c r="CB516" t="s">
        <v>1408</v>
      </c>
      <c r="CC516" s="4">
        <f>SUM(459*4,618*3)/7*10*92%</f>
        <v>4849.7142857142853</v>
      </c>
      <c r="CD516" s="4"/>
      <c r="CE516" s="4"/>
      <c r="CF516" t="s">
        <v>793</v>
      </c>
      <c r="CG516">
        <v>100</v>
      </c>
      <c r="CH516" t="s">
        <v>805</v>
      </c>
      <c r="CI516" s="28">
        <f t="shared" si="70"/>
        <v>1.1125</v>
      </c>
      <c r="CJ516" s="10" t="s">
        <v>1442</v>
      </c>
      <c r="CK516" s="9" t="s">
        <v>1</v>
      </c>
      <c r="CL516" s="4" t="s">
        <v>1</v>
      </c>
      <c r="CM516" t="s">
        <v>847</v>
      </c>
      <c r="CN516" s="4">
        <f>16*10</f>
        <v>160</v>
      </c>
      <c r="CO516" s="4" t="s">
        <v>1</v>
      </c>
      <c r="CP516" s="4" t="s">
        <v>1</v>
      </c>
      <c r="CQ516" s="4" t="s">
        <v>1</v>
      </c>
      <c r="CR516" s="4" t="s">
        <v>1</v>
      </c>
      <c r="CS516" s="4" t="s">
        <v>1</v>
      </c>
      <c r="CT516" s="4" t="s">
        <v>1</v>
      </c>
      <c r="CU516" s="4" t="s">
        <v>1</v>
      </c>
      <c r="CV516" t="s">
        <v>851</v>
      </c>
      <c r="CW516">
        <v>100</v>
      </c>
      <c r="CX516" t="s">
        <v>1</v>
      </c>
      <c r="CY516" t="s">
        <v>1</v>
      </c>
      <c r="CZ516" s="26" t="s">
        <v>1358</v>
      </c>
      <c r="DA516" t="s">
        <v>734</v>
      </c>
      <c r="DB516">
        <v>30</v>
      </c>
      <c r="DC516" t="s">
        <v>1</v>
      </c>
      <c r="DD516" t="s">
        <v>1</v>
      </c>
      <c r="DE516" s="26" t="s">
        <v>1358</v>
      </c>
      <c r="DF516" t="s">
        <v>735</v>
      </c>
      <c r="DG516">
        <v>47.5</v>
      </c>
      <c r="DH516" t="s">
        <v>1</v>
      </c>
      <c r="DI516" t="s">
        <v>1</v>
      </c>
      <c r="DJ516" s="26" t="s">
        <v>1358</v>
      </c>
      <c r="DK516" t="s">
        <v>736</v>
      </c>
      <c r="DL516">
        <v>22.5</v>
      </c>
      <c r="DM516" t="s">
        <v>1</v>
      </c>
      <c r="DN516" t="s">
        <v>1</v>
      </c>
      <c r="DO516" s="26" t="s">
        <v>1358</v>
      </c>
      <c r="DP516" t="s">
        <v>1</v>
      </c>
      <c r="DQ516" t="s">
        <v>1</v>
      </c>
      <c r="DR516" t="s">
        <v>1</v>
      </c>
      <c r="DS516" t="s">
        <v>1</v>
      </c>
      <c r="DT516" t="s">
        <v>1</v>
      </c>
      <c r="DU516" t="s">
        <v>1</v>
      </c>
      <c r="EA516" t="s">
        <v>982</v>
      </c>
      <c r="EB516">
        <v>24</v>
      </c>
      <c r="EC516" s="39">
        <v>0</v>
      </c>
      <c r="ED516" s="39">
        <v>30</v>
      </c>
      <c r="EE516" s="26" t="s">
        <v>1358</v>
      </c>
      <c r="EF516" t="s">
        <v>1464</v>
      </c>
      <c r="FZ516" t="s">
        <v>806</v>
      </c>
      <c r="GA516">
        <v>865</v>
      </c>
      <c r="GE516" s="26" t="s">
        <v>1358</v>
      </c>
      <c r="HA516" s="5" t="s">
        <v>1</v>
      </c>
      <c r="HB516" s="4" t="s">
        <v>1</v>
      </c>
      <c r="HC516" t="s">
        <v>1</v>
      </c>
      <c r="HD516" t="s">
        <v>1</v>
      </c>
      <c r="HE516" t="s">
        <v>1</v>
      </c>
      <c r="HF516" s="5" t="s">
        <v>1063</v>
      </c>
      <c r="HG516" s="4">
        <v>2.1</v>
      </c>
      <c r="HH516" t="s">
        <v>1</v>
      </c>
      <c r="HI516" t="s">
        <v>1</v>
      </c>
      <c r="HJ516" s="26" t="s">
        <v>1358</v>
      </c>
      <c r="HK516" t="s">
        <v>1</v>
      </c>
      <c r="HL516" t="s">
        <v>1</v>
      </c>
      <c r="HM516" t="s">
        <v>1</v>
      </c>
      <c r="HN516" t="s">
        <v>1</v>
      </c>
      <c r="HO516" t="s">
        <v>1</v>
      </c>
      <c r="HP516" t="s">
        <v>1</v>
      </c>
      <c r="HZ516" t="s">
        <v>1295</v>
      </c>
      <c r="IA516">
        <v>194</v>
      </c>
      <c r="IB516" s="5" t="s">
        <v>839</v>
      </c>
      <c r="IC516" s="5"/>
      <c r="ID516" s="5"/>
      <c r="IE516" s="10" t="s">
        <v>1</v>
      </c>
      <c r="IF516" s="10" t="s">
        <v>1</v>
      </c>
      <c r="IG516" s="10"/>
      <c r="IH516" s="10"/>
      <c r="II516" s="10"/>
      <c r="IJ516" s="10"/>
      <c r="IK516" s="10"/>
      <c r="IL516" s="10"/>
      <c r="IM516" s="10"/>
      <c r="IN516" s="10"/>
      <c r="IO516" s="10"/>
      <c r="IP516" s="10"/>
      <c r="IQ516" s="10"/>
      <c r="IR516" s="10"/>
      <c r="IS516" t="s">
        <v>1</v>
      </c>
      <c r="IT516" t="s">
        <v>1</v>
      </c>
      <c r="IW516" t="s">
        <v>1</v>
      </c>
      <c r="IX516" t="s">
        <v>1</v>
      </c>
      <c r="IY516" t="s">
        <v>808</v>
      </c>
      <c r="IZ516">
        <v>350</v>
      </c>
      <c r="JA516" t="s">
        <v>1065</v>
      </c>
      <c r="JB516" s="3">
        <v>10</v>
      </c>
      <c r="JC516" t="s">
        <v>1</v>
      </c>
      <c r="JD516" s="4" t="s">
        <v>1</v>
      </c>
      <c r="JE516" t="s">
        <v>1</v>
      </c>
      <c r="JF516" t="s">
        <v>1</v>
      </c>
      <c r="JR516" t="s">
        <v>1066</v>
      </c>
      <c r="JS516">
        <v>354.1</v>
      </c>
      <c r="JU516" t="s">
        <v>1</v>
      </c>
      <c r="JW516" t="s">
        <v>1</v>
      </c>
      <c r="JX516">
        <v>0</v>
      </c>
      <c r="JY516">
        <v>110.00000000000001</v>
      </c>
      <c r="JZ516" t="s">
        <v>796</v>
      </c>
      <c r="KA516" t="s">
        <v>585</v>
      </c>
      <c r="KB516" t="s">
        <v>738</v>
      </c>
      <c r="KC516" t="s">
        <v>1</v>
      </c>
      <c r="KD516" t="s">
        <v>1</v>
      </c>
      <c r="KE516" t="s">
        <v>1</v>
      </c>
      <c r="KF516" t="s">
        <v>1</v>
      </c>
      <c r="KG516" t="s">
        <v>1</v>
      </c>
      <c r="KH516" t="s">
        <v>1</v>
      </c>
      <c r="KI516" t="s">
        <v>1</v>
      </c>
      <c r="KJ516" t="s">
        <v>1</v>
      </c>
      <c r="KK516" t="s">
        <v>1</v>
      </c>
    </row>
    <row r="517" spans="1:297" x14ac:dyDescent="0.2">
      <c r="A517">
        <v>485</v>
      </c>
      <c r="B517" t="s">
        <v>705</v>
      </c>
      <c r="C517" t="s">
        <v>596</v>
      </c>
      <c r="D517" t="s">
        <v>595</v>
      </c>
      <c r="E517">
        <v>80</v>
      </c>
      <c r="F517" t="s">
        <v>784</v>
      </c>
      <c r="G517" t="s">
        <v>1</v>
      </c>
      <c r="H517" s="26" t="s">
        <v>1420</v>
      </c>
      <c r="I517" t="s">
        <v>1</v>
      </c>
      <c r="J517" t="s">
        <v>1</v>
      </c>
      <c r="K517" t="s">
        <v>1</v>
      </c>
      <c r="L517" t="s">
        <v>1</v>
      </c>
      <c r="M517" t="s">
        <v>1</v>
      </c>
      <c r="N517" t="s">
        <v>1</v>
      </c>
      <c r="O517" t="s">
        <v>1</v>
      </c>
      <c r="P517" t="s">
        <v>1</v>
      </c>
      <c r="Q517" t="s">
        <v>1</v>
      </c>
      <c r="R517" t="s">
        <v>1</v>
      </c>
      <c r="S517" t="s">
        <v>1</v>
      </c>
      <c r="T517" t="s">
        <v>1</v>
      </c>
      <c r="U517" t="s">
        <v>1</v>
      </c>
      <c r="V517" t="s">
        <v>1</v>
      </c>
      <c r="W517" t="s">
        <v>1</v>
      </c>
      <c r="X517" t="s">
        <v>1</v>
      </c>
      <c r="Y517" t="s">
        <v>1</v>
      </c>
      <c r="Z517" t="s">
        <v>1</v>
      </c>
      <c r="AA517" t="s">
        <v>1</v>
      </c>
      <c r="AB517" t="s">
        <v>1</v>
      </c>
      <c r="AC517" t="s">
        <v>1</v>
      </c>
      <c r="AD517" t="s">
        <v>1</v>
      </c>
      <c r="AE517" t="s">
        <v>1</v>
      </c>
      <c r="AF517" t="s">
        <v>1</v>
      </c>
      <c r="AG517" t="s">
        <v>1</v>
      </c>
      <c r="AH517" t="s">
        <v>1</v>
      </c>
      <c r="AI517" t="s">
        <v>1</v>
      </c>
      <c r="AJ517" t="s">
        <v>1</v>
      </c>
      <c r="AK517" t="s">
        <v>1</v>
      </c>
      <c r="AL517" t="s">
        <v>1</v>
      </c>
      <c r="AM517" t="s">
        <v>1</v>
      </c>
      <c r="AN517">
        <v>485</v>
      </c>
      <c r="AO517">
        <f t="shared" si="69"/>
        <v>485</v>
      </c>
      <c r="AP517">
        <f t="shared" si="72"/>
        <v>80</v>
      </c>
      <c r="AQ517">
        <f t="shared" si="71"/>
        <v>80</v>
      </c>
      <c r="AR517" s="26" t="s">
        <v>1355</v>
      </c>
      <c r="AS517" s="26" t="s">
        <v>1356</v>
      </c>
      <c r="AT517" t="s">
        <v>713</v>
      </c>
      <c r="AU517" t="s">
        <v>1</v>
      </c>
      <c r="AV517" t="s">
        <v>1</v>
      </c>
      <c r="AW517">
        <v>45.39</v>
      </c>
      <c r="AX517">
        <v>-93.89</v>
      </c>
      <c r="AY517" t="s">
        <v>737</v>
      </c>
      <c r="BA517" s="3">
        <v>4</v>
      </c>
      <c r="BB517" s="3"/>
      <c r="BC517" s="3"/>
      <c r="BD517" s="3"/>
      <c r="BE517" s="3"/>
      <c r="BF517">
        <v>1995</v>
      </c>
      <c r="BG517" s="24" t="s">
        <v>733</v>
      </c>
      <c r="BH517" s="24" t="s">
        <v>733</v>
      </c>
      <c r="BI517" s="24" t="s">
        <v>733</v>
      </c>
      <c r="BJ517" s="24" t="s">
        <v>732</v>
      </c>
      <c r="BK517" s="24" t="s">
        <v>733</v>
      </c>
      <c r="BL517" s="25" t="s">
        <v>733</v>
      </c>
      <c r="BM517" s="24" t="s">
        <v>733</v>
      </c>
      <c r="BN517" s="24" t="s">
        <v>732</v>
      </c>
      <c r="BO517" s="24" t="s">
        <v>733</v>
      </c>
      <c r="BP517" s="24" t="s">
        <v>733</v>
      </c>
      <c r="BQ517" s="24" t="s">
        <v>945</v>
      </c>
      <c r="BR517" s="24" t="s">
        <v>945</v>
      </c>
      <c r="BS517" s="25" t="s">
        <v>934</v>
      </c>
      <c r="BT517" s="24" t="s">
        <v>934</v>
      </c>
      <c r="BU517" s="24" t="s">
        <v>934</v>
      </c>
      <c r="BV517" s="24" t="s">
        <v>934</v>
      </c>
      <c r="BW517" s="24" t="s">
        <v>934</v>
      </c>
      <c r="BX517" s="24" t="s">
        <v>934</v>
      </c>
      <c r="BY517" s="25" t="s">
        <v>945</v>
      </c>
      <c r="BZ517" t="s">
        <v>22</v>
      </c>
      <c r="CB517" t="s">
        <v>1</v>
      </c>
      <c r="CC517" s="4">
        <f>AVERAGE(36.5,13.3)*1000*22%</f>
        <v>5478</v>
      </c>
      <c r="CD517" s="4"/>
      <c r="CE517" s="4"/>
      <c r="CF517" t="s">
        <v>793</v>
      </c>
      <c r="CG517">
        <v>100</v>
      </c>
      <c r="CH517" t="s">
        <v>805</v>
      </c>
      <c r="CI517" s="28">
        <v>0.6</v>
      </c>
      <c r="CJ517" s="10" t="s">
        <v>1443</v>
      </c>
      <c r="CK517" s="9" t="s">
        <v>1</v>
      </c>
      <c r="CL517" s="4" t="s">
        <v>1</v>
      </c>
      <c r="CM517" t="s">
        <v>847</v>
      </c>
      <c r="CN517" s="4">
        <f>AVERAGE(85.3,30.2)</f>
        <v>57.75</v>
      </c>
      <c r="CO517" s="4" t="s">
        <v>1</v>
      </c>
      <c r="CP517" s="4" t="s">
        <v>1</v>
      </c>
      <c r="CQ517" s="4" t="s">
        <v>1</v>
      </c>
      <c r="CR517" s="4" t="s">
        <v>1</v>
      </c>
      <c r="CS517" s="4" t="s">
        <v>1</v>
      </c>
      <c r="CT517" s="4" t="s">
        <v>1</v>
      </c>
      <c r="CU517" s="4" t="s">
        <v>1</v>
      </c>
      <c r="CV517" t="s">
        <v>852</v>
      </c>
      <c r="CW517">
        <v>100</v>
      </c>
      <c r="CX517">
        <v>0</v>
      </c>
      <c r="CY517">
        <v>15</v>
      </c>
      <c r="CZ517" s="26" t="s">
        <v>1358</v>
      </c>
      <c r="DA517" t="s">
        <v>734</v>
      </c>
      <c r="DB517">
        <v>83</v>
      </c>
      <c r="DC517">
        <v>0</v>
      </c>
      <c r="DD517">
        <v>15</v>
      </c>
      <c r="DE517" s="26" t="s">
        <v>1358</v>
      </c>
      <c r="DF517" t="s">
        <v>735</v>
      </c>
      <c r="DG517">
        <v>9.5</v>
      </c>
      <c r="DH517">
        <v>0</v>
      </c>
      <c r="DI517">
        <v>15</v>
      </c>
      <c r="DJ517" s="26" t="s">
        <v>1358</v>
      </c>
      <c r="DK517" t="s">
        <v>736</v>
      </c>
      <c r="DL517">
        <v>7.5</v>
      </c>
      <c r="DM517">
        <v>0</v>
      </c>
      <c r="DN517">
        <v>15</v>
      </c>
      <c r="DO517" s="26" t="s">
        <v>1358</v>
      </c>
      <c r="DP517" t="s">
        <v>1</v>
      </c>
      <c r="DQ517" t="s">
        <v>1</v>
      </c>
      <c r="DR517" t="s">
        <v>1</v>
      </c>
      <c r="DS517" t="s">
        <v>1</v>
      </c>
      <c r="DT517" t="s">
        <v>1</v>
      </c>
      <c r="DU517" t="s">
        <v>1</v>
      </c>
      <c r="EA517" t="s">
        <v>1</v>
      </c>
      <c r="EB517" t="s">
        <v>1</v>
      </c>
      <c r="EC517" t="s">
        <v>1</v>
      </c>
      <c r="ED517" t="s">
        <v>1</v>
      </c>
      <c r="EE517" t="s">
        <v>1</v>
      </c>
      <c r="FZ517" t="s">
        <v>806</v>
      </c>
      <c r="GA517">
        <v>322</v>
      </c>
      <c r="GE517" s="26" t="s">
        <v>1358</v>
      </c>
      <c r="HA517" s="5" t="s">
        <v>1</v>
      </c>
      <c r="HB517" s="4" t="s">
        <v>1</v>
      </c>
      <c r="HC517" t="s">
        <v>1</v>
      </c>
      <c r="HD517" t="s">
        <v>1</v>
      </c>
      <c r="HE517" t="s">
        <v>1</v>
      </c>
      <c r="HF517" s="5" t="s">
        <v>1</v>
      </c>
      <c r="HG517" s="4" t="s">
        <v>1</v>
      </c>
      <c r="HH517" t="s">
        <v>1</v>
      </c>
      <c r="HI517" t="s">
        <v>1</v>
      </c>
      <c r="HJ517" t="s">
        <v>1</v>
      </c>
      <c r="HK517" t="s">
        <v>815</v>
      </c>
      <c r="HL517" s="35">
        <v>1.6</v>
      </c>
      <c r="HM517">
        <v>0</v>
      </c>
      <c r="HN517">
        <v>15</v>
      </c>
      <c r="HO517" t="s">
        <v>1</v>
      </c>
      <c r="HP517" s="26" t="s">
        <v>1358</v>
      </c>
      <c r="HZ517" t="s">
        <v>1</v>
      </c>
      <c r="IA517" t="s">
        <v>1</v>
      </c>
      <c r="IB517" s="10" t="s">
        <v>1</v>
      </c>
      <c r="IC517" s="10"/>
      <c r="ID517" s="10"/>
      <c r="IE517" s="10" t="s">
        <v>1</v>
      </c>
      <c r="IF517" s="10" t="s">
        <v>1</v>
      </c>
      <c r="IG517" s="10"/>
      <c r="IH517" s="10"/>
      <c r="II517" s="10"/>
      <c r="IJ517" s="10"/>
      <c r="IK517" s="10"/>
      <c r="IL517" s="10"/>
      <c r="IM517" s="10"/>
      <c r="IN517" s="10"/>
      <c r="IO517" s="10"/>
      <c r="IP517" s="10"/>
      <c r="IQ517" s="10"/>
      <c r="IR517" s="10"/>
      <c r="IS517" t="s">
        <v>1</v>
      </c>
      <c r="IT517" t="s">
        <v>1</v>
      </c>
      <c r="IW517" t="s">
        <v>1</v>
      </c>
      <c r="IX517" t="s">
        <v>1</v>
      </c>
      <c r="IY517" t="s">
        <v>808</v>
      </c>
      <c r="IZ517">
        <v>1910</v>
      </c>
      <c r="JA517" t="s">
        <v>1</v>
      </c>
      <c r="JB517" s="3" t="s">
        <v>1</v>
      </c>
      <c r="JC517" t="s">
        <v>1</v>
      </c>
      <c r="JD517" s="4" t="s">
        <v>1</v>
      </c>
      <c r="JE517" t="s">
        <v>1</v>
      </c>
      <c r="JF517" t="s">
        <v>1</v>
      </c>
      <c r="JR517" t="s">
        <v>1066</v>
      </c>
      <c r="JS517">
        <v>40.9</v>
      </c>
      <c r="JU517" t="s">
        <v>1</v>
      </c>
      <c r="JW517" t="s">
        <v>1</v>
      </c>
      <c r="JX517">
        <v>0</v>
      </c>
      <c r="JY517">
        <v>75</v>
      </c>
      <c r="JZ517" t="s">
        <v>800</v>
      </c>
      <c r="KA517" t="s">
        <v>432</v>
      </c>
      <c r="KB517" t="s">
        <v>738</v>
      </c>
      <c r="KC517" t="s">
        <v>1</v>
      </c>
      <c r="KD517" t="s">
        <v>1</v>
      </c>
      <c r="KE517" t="s">
        <v>1</v>
      </c>
      <c r="KF517" t="s">
        <v>1</v>
      </c>
      <c r="KG517" t="s">
        <v>1</v>
      </c>
      <c r="KH517" t="s">
        <v>1</v>
      </c>
      <c r="KI517" t="s">
        <v>1</v>
      </c>
      <c r="KJ517" t="s">
        <v>1</v>
      </c>
      <c r="KK517" t="s">
        <v>1</v>
      </c>
    </row>
    <row r="518" spans="1:297" x14ac:dyDescent="0.2">
      <c r="A518">
        <v>486</v>
      </c>
      <c r="B518" t="s">
        <v>705</v>
      </c>
      <c r="C518" t="s">
        <v>597</v>
      </c>
      <c r="D518" t="s">
        <v>595</v>
      </c>
      <c r="E518">
        <v>80</v>
      </c>
      <c r="F518" t="s">
        <v>784</v>
      </c>
      <c r="G518" t="s">
        <v>1</v>
      </c>
      <c r="H518" s="26" t="s">
        <v>1420</v>
      </c>
      <c r="I518" t="s">
        <v>1</v>
      </c>
      <c r="J518" t="s">
        <v>1</v>
      </c>
      <c r="K518" t="s">
        <v>1</v>
      </c>
      <c r="L518" t="s">
        <v>1</v>
      </c>
      <c r="M518" t="s">
        <v>1</v>
      </c>
      <c r="N518" t="s">
        <v>1</v>
      </c>
      <c r="O518" t="s">
        <v>1</v>
      </c>
      <c r="P518" t="s">
        <v>1</v>
      </c>
      <c r="Q518" t="s">
        <v>1</v>
      </c>
      <c r="R518" t="s">
        <v>1</v>
      </c>
      <c r="S518" t="s">
        <v>1</v>
      </c>
      <c r="T518" t="s">
        <v>1</v>
      </c>
      <c r="U518" t="s">
        <v>1</v>
      </c>
      <c r="V518" t="s">
        <v>1</v>
      </c>
      <c r="W518" t="s">
        <v>1</v>
      </c>
      <c r="X518" t="s">
        <v>1</v>
      </c>
      <c r="Y518" t="s">
        <v>1</v>
      </c>
      <c r="Z518" t="s">
        <v>1</v>
      </c>
      <c r="AA518" t="s">
        <v>1</v>
      </c>
      <c r="AB518" t="s">
        <v>1</v>
      </c>
      <c r="AC518" t="s">
        <v>1</v>
      </c>
      <c r="AD518" t="s">
        <v>1</v>
      </c>
      <c r="AE518" t="s">
        <v>1</v>
      </c>
      <c r="AF518" t="s">
        <v>1</v>
      </c>
      <c r="AG518" t="s">
        <v>1</v>
      </c>
      <c r="AH518" t="s">
        <v>1</v>
      </c>
      <c r="AI518" t="s">
        <v>1</v>
      </c>
      <c r="AJ518" t="s">
        <v>1</v>
      </c>
      <c r="AK518" t="s">
        <v>1</v>
      </c>
      <c r="AL518" t="s">
        <v>1</v>
      </c>
      <c r="AM518" t="s">
        <v>1</v>
      </c>
      <c r="AN518">
        <v>486</v>
      </c>
      <c r="AO518">
        <f t="shared" si="69"/>
        <v>486</v>
      </c>
      <c r="AP518">
        <f t="shared" si="72"/>
        <v>80</v>
      </c>
      <c r="AQ518">
        <f t="shared" si="71"/>
        <v>80</v>
      </c>
      <c r="AR518" s="26" t="s">
        <v>1355</v>
      </c>
      <c r="AS518" s="26" t="s">
        <v>1356</v>
      </c>
      <c r="AT518" t="s">
        <v>713</v>
      </c>
      <c r="AU518" t="s">
        <v>1</v>
      </c>
      <c r="AV518" t="s">
        <v>1</v>
      </c>
      <c r="AW518">
        <v>45.39</v>
      </c>
      <c r="AX518">
        <v>-93.89</v>
      </c>
      <c r="AY518" t="s">
        <v>737</v>
      </c>
      <c r="BA518" s="3">
        <v>4</v>
      </c>
      <c r="BB518" s="3"/>
      <c r="BC518" s="3"/>
      <c r="BD518" s="3"/>
      <c r="BE518" s="3"/>
      <c r="BF518">
        <v>1995</v>
      </c>
      <c r="BG518" s="24" t="s">
        <v>733</v>
      </c>
      <c r="BH518" s="24" t="s">
        <v>733</v>
      </c>
      <c r="BI518" s="24" t="s">
        <v>733</v>
      </c>
      <c r="BJ518" s="24" t="s">
        <v>732</v>
      </c>
      <c r="BK518" s="24" t="s">
        <v>733</v>
      </c>
      <c r="BL518" s="25" t="s">
        <v>733</v>
      </c>
      <c r="BM518" s="24" t="s">
        <v>733</v>
      </c>
      <c r="BN518" s="24" t="s">
        <v>732</v>
      </c>
      <c r="BO518" s="24" t="s">
        <v>733</v>
      </c>
      <c r="BP518" s="24" t="s">
        <v>733</v>
      </c>
      <c r="BQ518" s="24" t="s">
        <v>945</v>
      </c>
      <c r="BR518" s="24" t="s">
        <v>945</v>
      </c>
      <c r="BS518" s="25" t="s">
        <v>934</v>
      </c>
      <c r="BT518" s="24" t="s">
        <v>934</v>
      </c>
      <c r="BU518" s="24" t="s">
        <v>934</v>
      </c>
      <c r="BV518" s="24" t="s">
        <v>934</v>
      </c>
      <c r="BW518" s="24" t="s">
        <v>934</v>
      </c>
      <c r="BX518" s="24" t="s">
        <v>934</v>
      </c>
      <c r="BY518" s="25" t="s">
        <v>945</v>
      </c>
      <c r="BZ518" t="s">
        <v>22</v>
      </c>
      <c r="CB518" t="s">
        <v>1</v>
      </c>
      <c r="CC518" s="4">
        <f>AVERAGE(52.4,30.9)*1000*22%</f>
        <v>9163</v>
      </c>
      <c r="CD518" s="4"/>
      <c r="CE518" s="4"/>
      <c r="CF518" t="s">
        <v>793</v>
      </c>
      <c r="CG518">
        <v>100</v>
      </c>
      <c r="CH518" t="s">
        <v>805</v>
      </c>
      <c r="CI518" s="28">
        <v>0.6</v>
      </c>
      <c r="CJ518" s="10" t="s">
        <v>1443</v>
      </c>
      <c r="CK518" s="9" t="s">
        <v>1</v>
      </c>
      <c r="CL518" s="4" t="s">
        <v>1</v>
      </c>
      <c r="CM518" t="s">
        <v>847</v>
      </c>
      <c r="CN518" s="4">
        <f>AVERAGE(188.9,109.9)</f>
        <v>149.4</v>
      </c>
      <c r="CO518" s="4" t="s">
        <v>1</v>
      </c>
      <c r="CP518" s="4" t="s">
        <v>1</v>
      </c>
      <c r="CQ518" s="4" t="s">
        <v>1</v>
      </c>
      <c r="CR518" s="4" t="s">
        <v>1</v>
      </c>
      <c r="CS518" s="4" t="s">
        <v>1</v>
      </c>
      <c r="CT518" s="4" t="s">
        <v>1</v>
      </c>
      <c r="CU518" s="4" t="s">
        <v>1</v>
      </c>
      <c r="CV518" t="s">
        <v>852</v>
      </c>
      <c r="CW518">
        <v>100</v>
      </c>
      <c r="CX518">
        <v>0</v>
      </c>
      <c r="CY518">
        <v>15</v>
      </c>
      <c r="CZ518" s="26" t="s">
        <v>1358</v>
      </c>
      <c r="DA518" t="s">
        <v>734</v>
      </c>
      <c r="DB518">
        <v>83</v>
      </c>
      <c r="DC518">
        <v>0</v>
      </c>
      <c r="DD518">
        <v>15</v>
      </c>
      <c r="DE518" s="26" t="s">
        <v>1358</v>
      </c>
      <c r="DF518" t="s">
        <v>735</v>
      </c>
      <c r="DG518">
        <v>9.5</v>
      </c>
      <c r="DH518">
        <v>0</v>
      </c>
      <c r="DI518">
        <v>15</v>
      </c>
      <c r="DJ518" s="26" t="s">
        <v>1358</v>
      </c>
      <c r="DK518" t="s">
        <v>736</v>
      </c>
      <c r="DL518">
        <v>7.5</v>
      </c>
      <c r="DM518">
        <v>0</v>
      </c>
      <c r="DN518">
        <v>15</v>
      </c>
      <c r="DO518" s="26" t="s">
        <v>1358</v>
      </c>
      <c r="DP518" t="s">
        <v>1</v>
      </c>
      <c r="DQ518" t="s">
        <v>1</v>
      </c>
      <c r="DR518" t="s">
        <v>1</v>
      </c>
      <c r="DS518" t="s">
        <v>1</v>
      </c>
      <c r="DT518" t="s">
        <v>1</v>
      </c>
      <c r="DU518" t="s">
        <v>1</v>
      </c>
      <c r="EA518" t="s">
        <v>1</v>
      </c>
      <c r="EB518" t="s">
        <v>1</v>
      </c>
      <c r="EC518" t="s">
        <v>1</v>
      </c>
      <c r="ED518" t="s">
        <v>1</v>
      </c>
      <c r="EE518" t="s">
        <v>1</v>
      </c>
      <c r="FZ518" t="s">
        <v>806</v>
      </c>
      <c r="GA518">
        <v>322</v>
      </c>
      <c r="GE518" s="26" t="s">
        <v>1358</v>
      </c>
      <c r="HA518" s="5" t="s">
        <v>1</v>
      </c>
      <c r="HB518" s="4" t="s">
        <v>1</v>
      </c>
      <c r="HC518" t="s">
        <v>1</v>
      </c>
      <c r="HD518" t="s">
        <v>1</v>
      </c>
      <c r="HE518" t="s">
        <v>1</v>
      </c>
      <c r="HF518" s="5" t="s">
        <v>1</v>
      </c>
      <c r="HG518" s="4" t="s">
        <v>1</v>
      </c>
      <c r="HH518" t="s">
        <v>1</v>
      </c>
      <c r="HI518" t="s">
        <v>1</v>
      </c>
      <c r="HJ518" t="s">
        <v>1</v>
      </c>
      <c r="HK518" t="s">
        <v>815</v>
      </c>
      <c r="HL518" s="35">
        <v>1.6</v>
      </c>
      <c r="HM518">
        <v>0</v>
      </c>
      <c r="HN518">
        <v>15</v>
      </c>
      <c r="HO518" t="s">
        <v>1</v>
      </c>
      <c r="HP518" s="26" t="s">
        <v>1358</v>
      </c>
      <c r="HZ518" t="s">
        <v>969</v>
      </c>
      <c r="IA518">
        <v>225</v>
      </c>
      <c r="IB518" s="10" t="s">
        <v>1</v>
      </c>
      <c r="IC518" s="10"/>
      <c r="ID518" s="10"/>
      <c r="IE518" s="10" t="s">
        <v>1</v>
      </c>
      <c r="IF518" s="10" t="s">
        <v>1</v>
      </c>
      <c r="IG518" s="10"/>
      <c r="IH518" s="10"/>
      <c r="II518" s="10"/>
      <c r="IJ518" s="10"/>
      <c r="IK518" s="10"/>
      <c r="IL518" s="10"/>
      <c r="IM518" s="10"/>
      <c r="IN518" s="10"/>
      <c r="IO518" s="10"/>
      <c r="IP518" s="10"/>
      <c r="IQ518" s="10"/>
      <c r="IR518" s="10"/>
      <c r="IS518" t="s">
        <v>1</v>
      </c>
      <c r="IT518" t="s">
        <v>1</v>
      </c>
      <c r="IW518" t="s">
        <v>1</v>
      </c>
      <c r="IX518" t="s">
        <v>1</v>
      </c>
      <c r="IY518" t="s">
        <v>808</v>
      </c>
      <c r="IZ518">
        <v>1910</v>
      </c>
      <c r="JA518" t="s">
        <v>1</v>
      </c>
      <c r="JB518" s="3" t="s">
        <v>1</v>
      </c>
      <c r="JC518" t="s">
        <v>1</v>
      </c>
      <c r="JD518" s="4" t="s">
        <v>1</v>
      </c>
      <c r="JE518" t="s">
        <v>1</v>
      </c>
      <c r="JF518" t="s">
        <v>1</v>
      </c>
      <c r="JR518" t="s">
        <v>1066</v>
      </c>
      <c r="JS518">
        <v>176.4</v>
      </c>
      <c r="JU518" t="s">
        <v>1</v>
      </c>
      <c r="JW518" t="s">
        <v>1</v>
      </c>
      <c r="JX518">
        <v>0</v>
      </c>
      <c r="JY518">
        <v>75</v>
      </c>
      <c r="JZ518" t="s">
        <v>800</v>
      </c>
      <c r="KA518" t="s">
        <v>432</v>
      </c>
      <c r="KB518" t="s">
        <v>738</v>
      </c>
      <c r="KC518" t="s">
        <v>1</v>
      </c>
      <c r="KD518" t="s">
        <v>1</v>
      </c>
      <c r="KE518" t="s">
        <v>1</v>
      </c>
      <c r="KF518" t="s">
        <v>1</v>
      </c>
      <c r="KG518" t="s">
        <v>1</v>
      </c>
      <c r="KH518" t="s">
        <v>1</v>
      </c>
      <c r="KI518" t="s">
        <v>1</v>
      </c>
      <c r="KJ518" t="s">
        <v>1</v>
      </c>
      <c r="KK518" t="s">
        <v>1</v>
      </c>
    </row>
    <row r="519" spans="1:297" x14ac:dyDescent="0.2">
      <c r="A519">
        <v>487</v>
      </c>
      <c r="B519" t="s">
        <v>705</v>
      </c>
      <c r="C519" t="s">
        <v>598</v>
      </c>
      <c r="D519" t="s">
        <v>595</v>
      </c>
      <c r="E519">
        <v>80</v>
      </c>
      <c r="F519" t="s">
        <v>784</v>
      </c>
      <c r="G519" t="s">
        <v>1</v>
      </c>
      <c r="H519" s="26" t="s">
        <v>1420</v>
      </c>
      <c r="I519" t="s">
        <v>1</v>
      </c>
      <c r="J519" t="s">
        <v>1</v>
      </c>
      <c r="K519" t="s">
        <v>1</v>
      </c>
      <c r="L519" t="s">
        <v>1</v>
      </c>
      <c r="M519" t="s">
        <v>1</v>
      </c>
      <c r="N519" t="s">
        <v>1</v>
      </c>
      <c r="O519" t="s">
        <v>1</v>
      </c>
      <c r="P519" t="s">
        <v>1</v>
      </c>
      <c r="Q519" t="s">
        <v>1</v>
      </c>
      <c r="R519" t="s">
        <v>1</v>
      </c>
      <c r="S519" t="s">
        <v>1</v>
      </c>
      <c r="T519" t="s">
        <v>1</v>
      </c>
      <c r="U519" t="s">
        <v>1</v>
      </c>
      <c r="V519" t="s">
        <v>1</v>
      </c>
      <c r="W519" t="s">
        <v>1</v>
      </c>
      <c r="X519" t="s">
        <v>1</v>
      </c>
      <c r="Y519" t="s">
        <v>1</v>
      </c>
      <c r="Z519" t="s">
        <v>1</v>
      </c>
      <c r="AA519" t="s">
        <v>1</v>
      </c>
      <c r="AB519" t="s">
        <v>1</v>
      </c>
      <c r="AC519" t="s">
        <v>1</v>
      </c>
      <c r="AD519" t="s">
        <v>1</v>
      </c>
      <c r="AE519" t="s">
        <v>1</v>
      </c>
      <c r="AF519" t="s">
        <v>1</v>
      </c>
      <c r="AG519" t="s">
        <v>1</v>
      </c>
      <c r="AH519" t="s">
        <v>1</v>
      </c>
      <c r="AI519" t="s">
        <v>1</v>
      </c>
      <c r="AJ519" t="s">
        <v>1</v>
      </c>
      <c r="AK519" t="s">
        <v>1</v>
      </c>
      <c r="AL519" t="s">
        <v>1</v>
      </c>
      <c r="AM519" t="s">
        <v>1</v>
      </c>
      <c r="AN519">
        <v>487</v>
      </c>
      <c r="AO519">
        <f t="shared" si="69"/>
        <v>487</v>
      </c>
      <c r="AP519">
        <f t="shared" si="72"/>
        <v>80</v>
      </c>
      <c r="AQ519">
        <f t="shared" si="71"/>
        <v>80</v>
      </c>
      <c r="AR519" s="26" t="s">
        <v>1355</v>
      </c>
      <c r="AS519" s="26" t="s">
        <v>1356</v>
      </c>
      <c r="AT519" t="s">
        <v>713</v>
      </c>
      <c r="AU519" t="s">
        <v>1</v>
      </c>
      <c r="AV519" t="s">
        <v>1</v>
      </c>
      <c r="AW519">
        <v>45.39</v>
      </c>
      <c r="AX519">
        <v>-93.89</v>
      </c>
      <c r="AY519" t="s">
        <v>737</v>
      </c>
      <c r="BA519" s="3">
        <v>4</v>
      </c>
      <c r="BB519" s="3"/>
      <c r="BC519" s="3"/>
      <c r="BD519" s="3"/>
      <c r="BE519" s="3"/>
      <c r="BF519">
        <v>1995</v>
      </c>
      <c r="BG519" s="24" t="s">
        <v>733</v>
      </c>
      <c r="BH519" s="24" t="s">
        <v>733</v>
      </c>
      <c r="BI519" s="24" t="s">
        <v>733</v>
      </c>
      <c r="BJ519" s="24" t="s">
        <v>732</v>
      </c>
      <c r="BK519" s="24" t="s">
        <v>733</v>
      </c>
      <c r="BL519" s="25" t="s">
        <v>733</v>
      </c>
      <c r="BM519" s="24" t="s">
        <v>733</v>
      </c>
      <c r="BN519" s="24" t="s">
        <v>732</v>
      </c>
      <c r="BO519" s="24" t="s">
        <v>733</v>
      </c>
      <c r="BP519" s="24" t="s">
        <v>733</v>
      </c>
      <c r="BQ519" s="24" t="s">
        <v>945</v>
      </c>
      <c r="BR519" s="24" t="s">
        <v>945</v>
      </c>
      <c r="BS519" s="25" t="s">
        <v>934</v>
      </c>
      <c r="BT519" s="24" t="s">
        <v>934</v>
      </c>
      <c r="BU519" s="24" t="s">
        <v>934</v>
      </c>
      <c r="BV519" s="24" t="s">
        <v>934</v>
      </c>
      <c r="BW519" s="24" t="s">
        <v>934</v>
      </c>
      <c r="BX519" s="24" t="s">
        <v>934</v>
      </c>
      <c r="BY519" s="25" t="s">
        <v>945</v>
      </c>
      <c r="BZ519" t="s">
        <v>22</v>
      </c>
      <c r="CB519" t="s">
        <v>1</v>
      </c>
      <c r="CC519" s="4">
        <f>AVERAGE(51.9,34.7)*1000*22%</f>
        <v>9526</v>
      </c>
      <c r="CD519" s="4"/>
      <c r="CE519" s="4"/>
      <c r="CF519" t="s">
        <v>793</v>
      </c>
      <c r="CG519">
        <v>100</v>
      </c>
      <c r="CH519" t="s">
        <v>805</v>
      </c>
      <c r="CI519" s="28">
        <v>0.6</v>
      </c>
      <c r="CJ519" s="10" t="s">
        <v>1443</v>
      </c>
      <c r="CK519" s="9" t="s">
        <v>1</v>
      </c>
      <c r="CL519" s="4" t="s">
        <v>1</v>
      </c>
      <c r="CM519" t="s">
        <v>847</v>
      </c>
      <c r="CN519" s="4">
        <f>AVERAGE(194.9,123.9)</f>
        <v>159.4</v>
      </c>
      <c r="CO519" s="4" t="s">
        <v>1</v>
      </c>
      <c r="CP519" s="4" t="s">
        <v>1</v>
      </c>
      <c r="CQ519" s="4" t="s">
        <v>1</v>
      </c>
      <c r="CR519" s="4" t="s">
        <v>1</v>
      </c>
      <c r="CS519" s="4" t="s">
        <v>1</v>
      </c>
      <c r="CT519" s="4" t="s">
        <v>1</v>
      </c>
      <c r="CU519" s="4" t="s">
        <v>1</v>
      </c>
      <c r="CV519" t="s">
        <v>852</v>
      </c>
      <c r="CW519">
        <v>100</v>
      </c>
      <c r="CX519">
        <v>0</v>
      </c>
      <c r="CY519">
        <v>15</v>
      </c>
      <c r="CZ519" s="26" t="s">
        <v>1358</v>
      </c>
      <c r="DA519" t="s">
        <v>734</v>
      </c>
      <c r="DB519">
        <v>83</v>
      </c>
      <c r="DC519">
        <v>0</v>
      </c>
      <c r="DD519">
        <v>15</v>
      </c>
      <c r="DE519" s="26" t="s">
        <v>1358</v>
      </c>
      <c r="DF519" t="s">
        <v>735</v>
      </c>
      <c r="DG519">
        <v>9.5</v>
      </c>
      <c r="DH519">
        <v>0</v>
      </c>
      <c r="DI519">
        <v>15</v>
      </c>
      <c r="DJ519" s="26" t="s">
        <v>1358</v>
      </c>
      <c r="DK519" t="s">
        <v>736</v>
      </c>
      <c r="DL519">
        <v>7.5</v>
      </c>
      <c r="DM519">
        <v>0</v>
      </c>
      <c r="DN519">
        <v>15</v>
      </c>
      <c r="DO519" s="26" t="s">
        <v>1358</v>
      </c>
      <c r="DP519" t="s">
        <v>1</v>
      </c>
      <c r="DQ519" t="s">
        <v>1</v>
      </c>
      <c r="DR519" t="s">
        <v>1</v>
      </c>
      <c r="DS519" t="s">
        <v>1</v>
      </c>
      <c r="DT519" t="s">
        <v>1</v>
      </c>
      <c r="DU519" t="s">
        <v>1</v>
      </c>
      <c r="EA519" t="s">
        <v>1</v>
      </c>
      <c r="EB519" t="s">
        <v>1</v>
      </c>
      <c r="EC519" t="s">
        <v>1</v>
      </c>
      <c r="ED519" t="s">
        <v>1</v>
      </c>
      <c r="EE519" t="s">
        <v>1</v>
      </c>
      <c r="FZ519" t="s">
        <v>806</v>
      </c>
      <c r="GA519">
        <v>322</v>
      </c>
      <c r="GE519" s="26" t="s">
        <v>1358</v>
      </c>
      <c r="HA519" s="5" t="s">
        <v>1</v>
      </c>
      <c r="HB519" s="4" t="s">
        <v>1</v>
      </c>
      <c r="HC519" t="s">
        <v>1</v>
      </c>
      <c r="HD519" t="s">
        <v>1</v>
      </c>
      <c r="HE519" t="s">
        <v>1</v>
      </c>
      <c r="HF519" s="5" t="s">
        <v>1</v>
      </c>
      <c r="HG519" s="4" t="s">
        <v>1</v>
      </c>
      <c r="HH519" t="s">
        <v>1</v>
      </c>
      <c r="HI519" t="s">
        <v>1</v>
      </c>
      <c r="HJ519" t="s">
        <v>1</v>
      </c>
      <c r="HK519" t="s">
        <v>815</v>
      </c>
      <c r="HL519" s="35">
        <v>1.6</v>
      </c>
      <c r="HM519">
        <v>0</v>
      </c>
      <c r="HN519">
        <v>15</v>
      </c>
      <c r="HO519" t="s">
        <v>1</v>
      </c>
      <c r="HP519" s="26" t="s">
        <v>1358</v>
      </c>
      <c r="HZ519" t="s">
        <v>969</v>
      </c>
      <c r="IA519">
        <v>225</v>
      </c>
      <c r="IB519" s="10" t="s">
        <v>1</v>
      </c>
      <c r="IC519" s="10"/>
      <c r="ID519" s="10"/>
      <c r="IE519" s="10" t="s">
        <v>1</v>
      </c>
      <c r="IF519" s="10" t="s">
        <v>1</v>
      </c>
      <c r="IG519" s="10"/>
      <c r="IH519" s="10"/>
      <c r="II519" s="10"/>
      <c r="IJ519" s="10"/>
      <c r="IK519" s="10"/>
      <c r="IL519" s="10"/>
      <c r="IM519" s="10"/>
      <c r="IN519" s="10"/>
      <c r="IO519" s="10"/>
      <c r="IP519" s="10"/>
      <c r="IQ519" s="10"/>
      <c r="IR519" s="10"/>
      <c r="IS519" t="s">
        <v>1</v>
      </c>
      <c r="IT519" t="s">
        <v>1</v>
      </c>
      <c r="IW519" t="s">
        <v>1</v>
      </c>
      <c r="IX519" t="s">
        <v>1</v>
      </c>
      <c r="IY519" t="s">
        <v>808</v>
      </c>
      <c r="IZ519">
        <v>1910</v>
      </c>
      <c r="JA519" t="s">
        <v>1</v>
      </c>
      <c r="JB519" s="3" t="s">
        <v>1</v>
      </c>
      <c r="JC519" t="s">
        <v>1</v>
      </c>
      <c r="JD519" s="4" t="s">
        <v>1</v>
      </c>
      <c r="JE519" t="s">
        <v>1</v>
      </c>
      <c r="JF519" t="s">
        <v>1</v>
      </c>
      <c r="JR519" t="s">
        <v>1066</v>
      </c>
      <c r="JS519">
        <v>190.6</v>
      </c>
      <c r="JU519" t="s">
        <v>1</v>
      </c>
      <c r="JW519" t="s">
        <v>1</v>
      </c>
      <c r="JX519">
        <v>0</v>
      </c>
      <c r="JY519">
        <v>75</v>
      </c>
      <c r="JZ519" t="s">
        <v>800</v>
      </c>
      <c r="KA519" t="s">
        <v>432</v>
      </c>
      <c r="KB519" t="s">
        <v>738</v>
      </c>
      <c r="KC519" t="s">
        <v>1</v>
      </c>
      <c r="KD519" t="s">
        <v>1</v>
      </c>
      <c r="KE519" t="s">
        <v>1</v>
      </c>
      <c r="KF519" t="s">
        <v>1</v>
      </c>
      <c r="KG519" t="s">
        <v>1</v>
      </c>
      <c r="KH519" t="s">
        <v>1</v>
      </c>
      <c r="KI519" t="s">
        <v>1</v>
      </c>
      <c r="KJ519" t="s">
        <v>1</v>
      </c>
      <c r="KK519" t="s">
        <v>1</v>
      </c>
    </row>
    <row r="520" spans="1:297" x14ac:dyDescent="0.2">
      <c r="A520">
        <v>488</v>
      </c>
      <c r="B520" t="s">
        <v>705</v>
      </c>
      <c r="C520" t="s">
        <v>599</v>
      </c>
      <c r="D520" t="s">
        <v>595</v>
      </c>
      <c r="E520">
        <v>80</v>
      </c>
      <c r="F520" t="s">
        <v>784</v>
      </c>
      <c r="G520" t="s">
        <v>1</v>
      </c>
      <c r="H520" s="26" t="s">
        <v>1420</v>
      </c>
      <c r="I520" t="s">
        <v>1</v>
      </c>
      <c r="J520" t="s">
        <v>1</v>
      </c>
      <c r="K520" t="s">
        <v>1</v>
      </c>
      <c r="L520" t="s">
        <v>1</v>
      </c>
      <c r="M520" t="s">
        <v>1</v>
      </c>
      <c r="N520" t="s">
        <v>1</v>
      </c>
      <c r="O520" t="s">
        <v>1</v>
      </c>
      <c r="P520" t="s">
        <v>1</v>
      </c>
      <c r="Q520" t="s">
        <v>1</v>
      </c>
      <c r="R520" t="s">
        <v>1</v>
      </c>
      <c r="S520" t="s">
        <v>1</v>
      </c>
      <c r="T520" t="s">
        <v>1</v>
      </c>
      <c r="U520" t="s">
        <v>1</v>
      </c>
      <c r="V520" t="s">
        <v>1</v>
      </c>
      <c r="W520" t="s">
        <v>1</v>
      </c>
      <c r="X520" t="s">
        <v>1</v>
      </c>
      <c r="Y520" t="s">
        <v>1</v>
      </c>
      <c r="Z520" t="s">
        <v>1</v>
      </c>
      <c r="AA520" t="s">
        <v>1</v>
      </c>
      <c r="AB520" t="s">
        <v>1</v>
      </c>
      <c r="AC520" t="s">
        <v>1</v>
      </c>
      <c r="AD520" t="s">
        <v>1</v>
      </c>
      <c r="AE520" t="s">
        <v>1</v>
      </c>
      <c r="AF520" t="s">
        <v>1</v>
      </c>
      <c r="AG520" t="s">
        <v>1</v>
      </c>
      <c r="AH520" t="s">
        <v>1</v>
      </c>
      <c r="AI520" t="s">
        <v>1</v>
      </c>
      <c r="AJ520" t="s">
        <v>1</v>
      </c>
      <c r="AK520" t="s">
        <v>1</v>
      </c>
      <c r="AL520" t="s">
        <v>1</v>
      </c>
      <c r="AM520" t="s">
        <v>1</v>
      </c>
      <c r="AN520">
        <v>488</v>
      </c>
      <c r="AO520">
        <f t="shared" si="69"/>
        <v>488</v>
      </c>
      <c r="AP520">
        <f t="shared" si="72"/>
        <v>80</v>
      </c>
      <c r="AQ520">
        <f t="shared" si="71"/>
        <v>80</v>
      </c>
      <c r="AR520" s="26" t="s">
        <v>1355</v>
      </c>
      <c r="AS520" s="26" t="s">
        <v>1356</v>
      </c>
      <c r="AT520" t="s">
        <v>713</v>
      </c>
      <c r="AU520" t="s">
        <v>1</v>
      </c>
      <c r="AV520" t="s">
        <v>1</v>
      </c>
      <c r="AW520">
        <v>45.39</v>
      </c>
      <c r="AX520">
        <v>-93.89</v>
      </c>
      <c r="AY520" t="s">
        <v>737</v>
      </c>
      <c r="BA520" s="3">
        <v>4</v>
      </c>
      <c r="BB520" s="3"/>
      <c r="BC520" s="3"/>
      <c r="BD520" s="3"/>
      <c r="BE520" s="3"/>
      <c r="BF520">
        <v>1995</v>
      </c>
      <c r="BG520" s="24" t="s">
        <v>733</v>
      </c>
      <c r="BH520" s="24" t="s">
        <v>733</v>
      </c>
      <c r="BI520" s="24" t="s">
        <v>733</v>
      </c>
      <c r="BJ520" s="24" t="s">
        <v>732</v>
      </c>
      <c r="BK520" s="24" t="s">
        <v>733</v>
      </c>
      <c r="BL520" s="25" t="s">
        <v>733</v>
      </c>
      <c r="BM520" s="24" t="s">
        <v>733</v>
      </c>
      <c r="BN520" s="24" t="s">
        <v>732</v>
      </c>
      <c r="BO520" s="24" t="s">
        <v>733</v>
      </c>
      <c r="BP520" s="24" t="s">
        <v>733</v>
      </c>
      <c r="BQ520" s="24" t="s">
        <v>945</v>
      </c>
      <c r="BR520" s="24" t="s">
        <v>945</v>
      </c>
      <c r="BS520" s="25" t="s">
        <v>934</v>
      </c>
      <c r="BT520" s="24" t="s">
        <v>934</v>
      </c>
      <c r="BU520" s="24" t="s">
        <v>934</v>
      </c>
      <c r="BV520" s="24" t="s">
        <v>934</v>
      </c>
      <c r="BW520" s="24" t="s">
        <v>934</v>
      </c>
      <c r="BX520" s="24" t="s">
        <v>934</v>
      </c>
      <c r="BY520" s="25" t="s">
        <v>945</v>
      </c>
      <c r="BZ520" t="s">
        <v>22</v>
      </c>
      <c r="CB520" t="s">
        <v>1</v>
      </c>
      <c r="CC520" s="4">
        <f>AVERAGE(60.5,33.5)*1000*22%</f>
        <v>10340</v>
      </c>
      <c r="CD520" s="4"/>
      <c r="CE520" s="4"/>
      <c r="CF520" t="s">
        <v>793</v>
      </c>
      <c r="CG520">
        <v>100</v>
      </c>
      <c r="CH520" t="s">
        <v>805</v>
      </c>
      <c r="CI520" s="28">
        <v>0.6</v>
      </c>
      <c r="CJ520" s="10" t="s">
        <v>1443</v>
      </c>
      <c r="CK520" s="9" t="s">
        <v>1</v>
      </c>
      <c r="CL520" s="4" t="s">
        <v>1</v>
      </c>
      <c r="CM520" t="s">
        <v>847</v>
      </c>
      <c r="CN520" s="4">
        <f>AVERAGE(193.9,106)</f>
        <v>149.94999999999999</v>
      </c>
      <c r="CO520" s="4" t="s">
        <v>1</v>
      </c>
      <c r="CP520" s="4" t="s">
        <v>1</v>
      </c>
      <c r="CQ520" s="4" t="s">
        <v>1</v>
      </c>
      <c r="CR520" s="4" t="s">
        <v>1</v>
      </c>
      <c r="CS520" s="4" t="s">
        <v>1</v>
      </c>
      <c r="CT520" s="4" t="s">
        <v>1</v>
      </c>
      <c r="CU520" s="4" t="s">
        <v>1</v>
      </c>
      <c r="CV520" t="s">
        <v>852</v>
      </c>
      <c r="CW520">
        <v>100</v>
      </c>
      <c r="CX520">
        <v>0</v>
      </c>
      <c r="CY520">
        <v>15</v>
      </c>
      <c r="CZ520" s="26" t="s">
        <v>1358</v>
      </c>
      <c r="DA520" t="s">
        <v>734</v>
      </c>
      <c r="DB520">
        <v>83</v>
      </c>
      <c r="DC520">
        <v>0</v>
      </c>
      <c r="DD520">
        <v>15</v>
      </c>
      <c r="DE520" s="26" t="s">
        <v>1358</v>
      </c>
      <c r="DF520" t="s">
        <v>735</v>
      </c>
      <c r="DG520">
        <v>9.5</v>
      </c>
      <c r="DH520">
        <v>0</v>
      </c>
      <c r="DI520">
        <v>15</v>
      </c>
      <c r="DJ520" s="26" t="s">
        <v>1358</v>
      </c>
      <c r="DK520" t="s">
        <v>736</v>
      </c>
      <c r="DL520">
        <v>7.5</v>
      </c>
      <c r="DM520">
        <v>0</v>
      </c>
      <c r="DN520">
        <v>15</v>
      </c>
      <c r="DO520" s="26" t="s">
        <v>1358</v>
      </c>
      <c r="DP520" t="s">
        <v>1</v>
      </c>
      <c r="DQ520" t="s">
        <v>1</v>
      </c>
      <c r="DR520" t="s">
        <v>1</v>
      </c>
      <c r="DS520" t="s">
        <v>1</v>
      </c>
      <c r="DT520" t="s">
        <v>1</v>
      </c>
      <c r="DU520" t="s">
        <v>1</v>
      </c>
      <c r="EA520" t="s">
        <v>1</v>
      </c>
      <c r="EB520" t="s">
        <v>1</v>
      </c>
      <c r="EC520" t="s">
        <v>1</v>
      </c>
      <c r="ED520" t="s">
        <v>1</v>
      </c>
      <c r="EE520" t="s">
        <v>1</v>
      </c>
      <c r="FZ520" t="s">
        <v>806</v>
      </c>
      <c r="GA520">
        <v>322</v>
      </c>
      <c r="GE520" s="26" t="s">
        <v>1358</v>
      </c>
      <c r="HA520" s="5" t="s">
        <v>1</v>
      </c>
      <c r="HB520" s="4" t="s">
        <v>1</v>
      </c>
      <c r="HC520" t="s">
        <v>1</v>
      </c>
      <c r="HD520" t="s">
        <v>1</v>
      </c>
      <c r="HE520" t="s">
        <v>1</v>
      </c>
      <c r="HF520" s="5" t="s">
        <v>1</v>
      </c>
      <c r="HG520" s="4" t="s">
        <v>1</v>
      </c>
      <c r="HH520" t="s">
        <v>1</v>
      </c>
      <c r="HI520" t="s">
        <v>1</v>
      </c>
      <c r="HJ520" t="s">
        <v>1</v>
      </c>
      <c r="HK520" t="s">
        <v>815</v>
      </c>
      <c r="HL520" s="35">
        <v>1.6</v>
      </c>
      <c r="HM520">
        <v>0</v>
      </c>
      <c r="HN520">
        <v>15</v>
      </c>
      <c r="HO520" t="s">
        <v>1</v>
      </c>
      <c r="HP520" s="26" t="s">
        <v>1358</v>
      </c>
      <c r="HZ520" t="s">
        <v>1</v>
      </c>
      <c r="IA520" t="s">
        <v>1</v>
      </c>
      <c r="IB520" s="10" t="s">
        <v>1</v>
      </c>
      <c r="IC520" s="10"/>
      <c r="ID520" s="10"/>
      <c r="IE520" s="10" t="s">
        <v>1</v>
      </c>
      <c r="IF520" s="10" t="s">
        <v>1</v>
      </c>
      <c r="IG520" s="10"/>
      <c r="IH520" s="10"/>
      <c r="II520" s="10"/>
      <c r="IJ520" s="10"/>
      <c r="IK520" s="10"/>
      <c r="IL520" s="10"/>
      <c r="IM520" s="10"/>
      <c r="IN520" s="10"/>
      <c r="IO520" s="10"/>
      <c r="IP520" s="10"/>
      <c r="IQ520" s="10"/>
      <c r="IR520" s="10"/>
      <c r="IS520" t="s">
        <v>978</v>
      </c>
      <c r="IT520">
        <v>217</v>
      </c>
      <c r="IW520" t="s">
        <v>1</v>
      </c>
      <c r="IX520" t="s">
        <v>1</v>
      </c>
      <c r="IY520" t="s">
        <v>808</v>
      </c>
      <c r="IZ520">
        <v>1910</v>
      </c>
      <c r="JA520" t="s">
        <v>1</v>
      </c>
      <c r="JB520" s="3" t="s">
        <v>1</v>
      </c>
      <c r="JC520" t="s">
        <v>1</v>
      </c>
      <c r="JD520" s="4" t="s">
        <v>1</v>
      </c>
      <c r="JE520" t="s">
        <v>1</v>
      </c>
      <c r="JF520" t="s">
        <v>1</v>
      </c>
      <c r="JR520" t="s">
        <v>1066</v>
      </c>
      <c r="JS520">
        <v>239.9</v>
      </c>
      <c r="JU520" t="s">
        <v>1</v>
      </c>
      <c r="JW520" t="s">
        <v>1</v>
      </c>
      <c r="JX520">
        <v>0</v>
      </c>
      <c r="JY520">
        <v>75</v>
      </c>
      <c r="JZ520" t="s">
        <v>800</v>
      </c>
      <c r="KA520" t="s">
        <v>432</v>
      </c>
      <c r="KB520" t="s">
        <v>738</v>
      </c>
      <c r="KC520" t="s">
        <v>1</v>
      </c>
      <c r="KD520" t="s">
        <v>1</v>
      </c>
      <c r="KE520" t="s">
        <v>1</v>
      </c>
      <c r="KF520" t="s">
        <v>1</v>
      </c>
      <c r="KG520" t="s">
        <v>1</v>
      </c>
      <c r="KH520" t="s">
        <v>1</v>
      </c>
      <c r="KI520" t="s">
        <v>1</v>
      </c>
      <c r="KJ520" t="s">
        <v>1</v>
      </c>
      <c r="KK520" t="s">
        <v>1</v>
      </c>
    </row>
    <row r="521" spans="1:297" x14ac:dyDescent="0.2">
      <c r="A521">
        <v>489</v>
      </c>
      <c r="B521" t="s">
        <v>705</v>
      </c>
      <c r="C521" t="s">
        <v>600</v>
      </c>
      <c r="D521" t="s">
        <v>595</v>
      </c>
      <c r="E521">
        <v>80</v>
      </c>
      <c r="F521" t="s">
        <v>784</v>
      </c>
      <c r="G521" t="s">
        <v>1</v>
      </c>
      <c r="H521" s="26" t="s">
        <v>1420</v>
      </c>
      <c r="I521" t="s">
        <v>1</v>
      </c>
      <c r="J521" t="s">
        <v>1</v>
      </c>
      <c r="K521" t="s">
        <v>1</v>
      </c>
      <c r="L521" t="s">
        <v>1</v>
      </c>
      <c r="M521" t="s">
        <v>1</v>
      </c>
      <c r="N521" t="s">
        <v>1</v>
      </c>
      <c r="O521" t="s">
        <v>1</v>
      </c>
      <c r="P521" t="s">
        <v>1</v>
      </c>
      <c r="Q521" t="s">
        <v>1</v>
      </c>
      <c r="R521" t="s">
        <v>1</v>
      </c>
      <c r="S521" t="s">
        <v>1</v>
      </c>
      <c r="T521" t="s">
        <v>1</v>
      </c>
      <c r="U521" t="s">
        <v>1</v>
      </c>
      <c r="V521" t="s">
        <v>1</v>
      </c>
      <c r="W521" t="s">
        <v>1</v>
      </c>
      <c r="X521" t="s">
        <v>1</v>
      </c>
      <c r="Y521" t="s">
        <v>1</v>
      </c>
      <c r="Z521" t="s">
        <v>1</v>
      </c>
      <c r="AA521" t="s">
        <v>1</v>
      </c>
      <c r="AB521" t="s">
        <v>1</v>
      </c>
      <c r="AC521" t="s">
        <v>1</v>
      </c>
      <c r="AD521" t="s">
        <v>1</v>
      </c>
      <c r="AE521" t="s">
        <v>1</v>
      </c>
      <c r="AF521" t="s">
        <v>1</v>
      </c>
      <c r="AG521" t="s">
        <v>1</v>
      </c>
      <c r="AH521" t="s">
        <v>1</v>
      </c>
      <c r="AI521" t="s">
        <v>1</v>
      </c>
      <c r="AJ521" t="s">
        <v>1</v>
      </c>
      <c r="AK521" t="s">
        <v>1</v>
      </c>
      <c r="AL521" t="s">
        <v>1</v>
      </c>
      <c r="AM521" t="s">
        <v>1</v>
      </c>
      <c r="AN521">
        <v>489</v>
      </c>
      <c r="AO521">
        <f t="shared" si="69"/>
        <v>489</v>
      </c>
      <c r="AP521">
        <f t="shared" si="72"/>
        <v>80</v>
      </c>
      <c r="AQ521">
        <f t="shared" si="71"/>
        <v>80</v>
      </c>
      <c r="AR521" s="26" t="s">
        <v>1355</v>
      </c>
      <c r="AS521" s="26" t="s">
        <v>1356</v>
      </c>
      <c r="AT521" t="s">
        <v>713</v>
      </c>
      <c r="AU521" t="s">
        <v>1</v>
      </c>
      <c r="AV521" t="s">
        <v>1</v>
      </c>
      <c r="AW521">
        <v>45.39</v>
      </c>
      <c r="AX521">
        <v>-93.89</v>
      </c>
      <c r="AY521" t="s">
        <v>737</v>
      </c>
      <c r="BA521" s="3">
        <v>4</v>
      </c>
      <c r="BB521" s="3"/>
      <c r="BC521" s="3"/>
      <c r="BD521" s="3"/>
      <c r="BE521" s="3"/>
      <c r="BF521">
        <v>1995</v>
      </c>
      <c r="BG521" s="24" t="s">
        <v>733</v>
      </c>
      <c r="BH521" s="24" t="s">
        <v>733</v>
      </c>
      <c r="BI521" s="24" t="s">
        <v>733</v>
      </c>
      <c r="BJ521" s="24" t="s">
        <v>732</v>
      </c>
      <c r="BK521" s="24" t="s">
        <v>733</v>
      </c>
      <c r="BL521" s="25" t="s">
        <v>733</v>
      </c>
      <c r="BM521" s="24" t="s">
        <v>733</v>
      </c>
      <c r="BN521" s="24" t="s">
        <v>732</v>
      </c>
      <c r="BO521" s="24" t="s">
        <v>733</v>
      </c>
      <c r="BP521" s="24" t="s">
        <v>733</v>
      </c>
      <c r="BQ521" s="24" t="s">
        <v>945</v>
      </c>
      <c r="BR521" s="24" t="s">
        <v>945</v>
      </c>
      <c r="BS521" s="25" t="s">
        <v>934</v>
      </c>
      <c r="BT521" s="24" t="s">
        <v>934</v>
      </c>
      <c r="BU521" s="24" t="s">
        <v>934</v>
      </c>
      <c r="BV521" s="24" t="s">
        <v>934</v>
      </c>
      <c r="BW521" s="24" t="s">
        <v>934</v>
      </c>
      <c r="BX521" s="24" t="s">
        <v>934</v>
      </c>
      <c r="BY521" s="25" t="s">
        <v>945</v>
      </c>
      <c r="BZ521" t="s">
        <v>22</v>
      </c>
      <c r="CB521" t="s">
        <v>1</v>
      </c>
      <c r="CC521" s="4">
        <f>AVERAGE(46.2,32.3)*1000*22%</f>
        <v>8635</v>
      </c>
      <c r="CD521" s="4"/>
      <c r="CE521" s="4"/>
      <c r="CF521" t="s">
        <v>793</v>
      </c>
      <c r="CG521">
        <v>100</v>
      </c>
      <c r="CH521" t="s">
        <v>805</v>
      </c>
      <c r="CI521" s="28">
        <v>0.6</v>
      </c>
      <c r="CJ521" s="10" t="s">
        <v>1443</v>
      </c>
      <c r="CK521" s="9" t="s">
        <v>1</v>
      </c>
      <c r="CL521" s="4" t="s">
        <v>1</v>
      </c>
      <c r="CM521" t="s">
        <v>847</v>
      </c>
      <c r="CN521" s="4">
        <f>AVERAGE(165.2,111.3)</f>
        <v>138.25</v>
      </c>
      <c r="CO521" s="4" t="s">
        <v>1</v>
      </c>
      <c r="CP521" s="4" t="s">
        <v>1</v>
      </c>
      <c r="CQ521" s="4" t="s">
        <v>1</v>
      </c>
      <c r="CR521" s="4" t="s">
        <v>1</v>
      </c>
      <c r="CS521" s="4" t="s">
        <v>1</v>
      </c>
      <c r="CT521" s="4" t="s">
        <v>1</v>
      </c>
      <c r="CU521" s="4" t="s">
        <v>1</v>
      </c>
      <c r="CV521" t="s">
        <v>852</v>
      </c>
      <c r="CW521">
        <v>100</v>
      </c>
      <c r="CX521">
        <v>0</v>
      </c>
      <c r="CY521">
        <v>15</v>
      </c>
      <c r="CZ521" s="26" t="s">
        <v>1358</v>
      </c>
      <c r="DA521" t="s">
        <v>734</v>
      </c>
      <c r="DB521">
        <v>83</v>
      </c>
      <c r="DC521">
        <v>0</v>
      </c>
      <c r="DD521">
        <v>15</v>
      </c>
      <c r="DE521" s="26" t="s">
        <v>1358</v>
      </c>
      <c r="DF521" t="s">
        <v>735</v>
      </c>
      <c r="DG521">
        <v>9.5</v>
      </c>
      <c r="DH521">
        <v>0</v>
      </c>
      <c r="DI521">
        <v>15</v>
      </c>
      <c r="DJ521" s="26" t="s">
        <v>1358</v>
      </c>
      <c r="DK521" t="s">
        <v>736</v>
      </c>
      <c r="DL521">
        <v>7.5</v>
      </c>
      <c r="DM521">
        <v>0</v>
      </c>
      <c r="DN521">
        <v>15</v>
      </c>
      <c r="DO521" s="26" t="s">
        <v>1358</v>
      </c>
      <c r="DP521" t="s">
        <v>1</v>
      </c>
      <c r="DQ521" t="s">
        <v>1</v>
      </c>
      <c r="DR521" t="s">
        <v>1</v>
      </c>
      <c r="DS521" t="s">
        <v>1</v>
      </c>
      <c r="DT521" t="s">
        <v>1</v>
      </c>
      <c r="DU521" t="s">
        <v>1</v>
      </c>
      <c r="EA521" t="s">
        <v>1</v>
      </c>
      <c r="EB521" t="s">
        <v>1</v>
      </c>
      <c r="EC521" t="s">
        <v>1</v>
      </c>
      <c r="ED521" t="s">
        <v>1</v>
      </c>
      <c r="EE521" t="s">
        <v>1</v>
      </c>
      <c r="FZ521" t="s">
        <v>806</v>
      </c>
      <c r="GA521">
        <v>322</v>
      </c>
      <c r="GE521" s="26" t="s">
        <v>1358</v>
      </c>
      <c r="HA521" s="5" t="s">
        <v>1</v>
      </c>
      <c r="HB521" s="4" t="s">
        <v>1</v>
      </c>
      <c r="HC521" t="s">
        <v>1</v>
      </c>
      <c r="HD521" t="s">
        <v>1</v>
      </c>
      <c r="HE521" t="s">
        <v>1</v>
      </c>
      <c r="HF521" s="5" t="s">
        <v>1</v>
      </c>
      <c r="HG521" s="4" t="s">
        <v>1</v>
      </c>
      <c r="HH521" t="s">
        <v>1</v>
      </c>
      <c r="HI521" t="s">
        <v>1</v>
      </c>
      <c r="HJ521" t="s">
        <v>1</v>
      </c>
      <c r="HK521" t="s">
        <v>815</v>
      </c>
      <c r="HL521" s="35">
        <v>1.6</v>
      </c>
      <c r="HM521">
        <v>0</v>
      </c>
      <c r="HN521">
        <v>15</v>
      </c>
      <c r="HO521" t="s">
        <v>1</v>
      </c>
      <c r="HP521" s="26" t="s">
        <v>1358</v>
      </c>
      <c r="HZ521" t="s">
        <v>1295</v>
      </c>
      <c r="IA521">
        <v>224</v>
      </c>
      <c r="IB521" s="10" t="s">
        <v>840</v>
      </c>
      <c r="IC521" s="10"/>
      <c r="ID521" s="10"/>
      <c r="IE521" s="10" t="s">
        <v>1312</v>
      </c>
      <c r="IF521" s="10" t="b">
        <v>1</v>
      </c>
      <c r="IG521" s="10"/>
      <c r="IH521" s="10"/>
      <c r="II521" s="10"/>
      <c r="IJ521" s="10"/>
      <c r="IK521" s="10"/>
      <c r="IL521" s="10"/>
      <c r="IM521" s="10"/>
      <c r="IN521" s="10"/>
      <c r="IO521" s="10"/>
      <c r="IP521" s="10"/>
      <c r="IQ521" s="10"/>
      <c r="IR521" s="10"/>
      <c r="IS521" t="s">
        <v>1</v>
      </c>
      <c r="IT521" t="s">
        <v>1</v>
      </c>
      <c r="IW521" t="s">
        <v>1</v>
      </c>
      <c r="IX521" t="s">
        <v>1</v>
      </c>
      <c r="IY521" t="s">
        <v>808</v>
      </c>
      <c r="IZ521">
        <v>1910</v>
      </c>
      <c r="JA521" t="s">
        <v>1</v>
      </c>
      <c r="JB521" s="3" t="s">
        <v>1</v>
      </c>
      <c r="JC521" t="s">
        <v>1</v>
      </c>
      <c r="JD521" s="4" t="s">
        <v>1</v>
      </c>
      <c r="JE521" t="s">
        <v>1</v>
      </c>
      <c r="JF521" t="s">
        <v>1</v>
      </c>
      <c r="JR521" t="s">
        <v>1066</v>
      </c>
      <c r="JS521">
        <v>107.6</v>
      </c>
      <c r="JU521" t="s">
        <v>1</v>
      </c>
      <c r="JW521" t="s">
        <v>1</v>
      </c>
      <c r="JX521">
        <v>0</v>
      </c>
      <c r="JY521">
        <v>75</v>
      </c>
      <c r="JZ521" t="s">
        <v>800</v>
      </c>
      <c r="KA521" t="s">
        <v>432</v>
      </c>
      <c r="KB521" t="s">
        <v>738</v>
      </c>
      <c r="KC521" t="s">
        <v>1</v>
      </c>
      <c r="KD521" t="s">
        <v>1</v>
      </c>
      <c r="KE521" t="s">
        <v>1</v>
      </c>
      <c r="KF521" t="s">
        <v>1</v>
      </c>
      <c r="KG521" t="s">
        <v>1</v>
      </c>
      <c r="KH521" t="s">
        <v>1</v>
      </c>
      <c r="KI521" t="s">
        <v>1</v>
      </c>
      <c r="KJ521" t="s">
        <v>1</v>
      </c>
      <c r="KK521" t="s">
        <v>1</v>
      </c>
    </row>
    <row r="522" spans="1:297" x14ac:dyDescent="0.2">
      <c r="A522">
        <v>490</v>
      </c>
      <c r="B522" t="s">
        <v>705</v>
      </c>
      <c r="C522" t="s">
        <v>603</v>
      </c>
      <c r="D522" t="s">
        <v>601</v>
      </c>
      <c r="E522">
        <v>81</v>
      </c>
      <c r="F522" t="s">
        <v>602</v>
      </c>
      <c r="G522" t="s">
        <v>1</v>
      </c>
      <c r="H522" s="26" t="s">
        <v>1420</v>
      </c>
      <c r="I522" t="s">
        <v>1</v>
      </c>
      <c r="J522" t="s">
        <v>1</v>
      </c>
      <c r="K522" t="s">
        <v>1</v>
      </c>
      <c r="L522" t="s">
        <v>1</v>
      </c>
      <c r="M522" t="s">
        <v>1</v>
      </c>
      <c r="N522" t="s">
        <v>1</v>
      </c>
      <c r="O522" t="s">
        <v>1</v>
      </c>
      <c r="P522" t="s">
        <v>1</v>
      </c>
      <c r="Q522" t="s">
        <v>1</v>
      </c>
      <c r="R522" t="s">
        <v>1</v>
      </c>
      <c r="S522" t="s">
        <v>1</v>
      </c>
      <c r="T522" t="s">
        <v>1</v>
      </c>
      <c r="U522" t="s">
        <v>1</v>
      </c>
      <c r="V522" t="s">
        <v>1</v>
      </c>
      <c r="W522" t="s">
        <v>1</v>
      </c>
      <c r="X522" t="s">
        <v>1</v>
      </c>
      <c r="Y522" t="s">
        <v>1</v>
      </c>
      <c r="Z522" t="s">
        <v>1</v>
      </c>
      <c r="AA522" t="s">
        <v>1</v>
      </c>
      <c r="AB522" t="s">
        <v>1</v>
      </c>
      <c r="AC522" t="s">
        <v>1</v>
      </c>
      <c r="AD522" t="s">
        <v>1</v>
      </c>
      <c r="AE522" t="s">
        <v>1</v>
      </c>
      <c r="AF522" t="s">
        <v>1</v>
      </c>
      <c r="AG522" t="s">
        <v>1</v>
      </c>
      <c r="AH522" t="s">
        <v>1</v>
      </c>
      <c r="AI522" t="s">
        <v>1</v>
      </c>
      <c r="AJ522" t="s">
        <v>1</v>
      </c>
      <c r="AK522" t="s">
        <v>1</v>
      </c>
      <c r="AL522" t="s">
        <v>1</v>
      </c>
      <c r="AM522" t="s">
        <v>1</v>
      </c>
      <c r="AN522">
        <v>490</v>
      </c>
      <c r="AO522">
        <f t="shared" si="69"/>
        <v>490</v>
      </c>
      <c r="AP522">
        <f t="shared" si="72"/>
        <v>81</v>
      </c>
      <c r="AQ522">
        <f t="shared" si="71"/>
        <v>81</v>
      </c>
      <c r="AR522" s="26" t="s">
        <v>1355</v>
      </c>
      <c r="AS522" s="26" t="s">
        <v>1356</v>
      </c>
      <c r="AT522" t="s">
        <v>713</v>
      </c>
      <c r="AU522" t="s">
        <v>1</v>
      </c>
      <c r="AV522" t="s">
        <v>1</v>
      </c>
      <c r="AW522">
        <v>42.2</v>
      </c>
      <c r="AX522">
        <v>-93.6</v>
      </c>
      <c r="AY522" t="s">
        <v>737</v>
      </c>
      <c r="BA522" s="3">
        <v>2</v>
      </c>
      <c r="BB522" s="3"/>
      <c r="BC522" s="3"/>
      <c r="BD522" s="3"/>
      <c r="BE522" s="3"/>
      <c r="BF522">
        <v>2012</v>
      </c>
      <c r="BG522" s="24" t="s">
        <v>733</v>
      </c>
      <c r="BH522" s="24" t="s">
        <v>733</v>
      </c>
      <c r="BI522" s="24" t="s">
        <v>733</v>
      </c>
      <c r="BJ522" s="24" t="s">
        <v>732</v>
      </c>
      <c r="BK522" s="24" t="s">
        <v>733</v>
      </c>
      <c r="BL522" s="25" t="s">
        <v>733</v>
      </c>
      <c r="BM522" s="24" t="s">
        <v>733</v>
      </c>
      <c r="BN522" s="24" t="s">
        <v>732</v>
      </c>
      <c r="BO522" s="24" t="s">
        <v>733</v>
      </c>
      <c r="BP522" s="24" t="s">
        <v>733</v>
      </c>
      <c r="BQ522" s="24" t="s">
        <v>945</v>
      </c>
      <c r="BR522" s="24" t="s">
        <v>945</v>
      </c>
      <c r="BS522" s="25" t="s">
        <v>934</v>
      </c>
      <c r="BT522" s="24" t="s">
        <v>934</v>
      </c>
      <c r="BU522" s="24" t="s">
        <v>934</v>
      </c>
      <c r="BV522" s="24" t="s">
        <v>934</v>
      </c>
      <c r="BW522" s="24" t="s">
        <v>934</v>
      </c>
      <c r="BX522" s="24" t="s">
        <v>934</v>
      </c>
      <c r="BY522" s="25" t="s">
        <v>945</v>
      </c>
      <c r="BZ522" t="s">
        <v>5</v>
      </c>
      <c r="CB522" t="s">
        <v>1</v>
      </c>
      <c r="CC522" s="4">
        <f>11.7*84.5%*1000</f>
        <v>9886.5</v>
      </c>
      <c r="CD522" s="4"/>
      <c r="CE522" s="4"/>
      <c r="CF522" t="s">
        <v>793</v>
      </c>
      <c r="CG522">
        <v>100</v>
      </c>
      <c r="CH522" t="s">
        <v>805</v>
      </c>
      <c r="CI522" s="1">
        <v>1.6</v>
      </c>
      <c r="CJ522" s="10" t="s">
        <v>1442</v>
      </c>
      <c r="CK522" s="9" t="s">
        <v>1</v>
      </c>
      <c r="CL522" s="4" t="s">
        <v>1</v>
      </c>
      <c r="CM522" t="s">
        <v>848</v>
      </c>
      <c r="CN522" s="4" t="s">
        <v>1</v>
      </c>
      <c r="CO522" s="4" t="s">
        <v>1</v>
      </c>
      <c r="CP522" s="4" t="s">
        <v>1</v>
      </c>
      <c r="CQ522" s="4" t="s">
        <v>1</v>
      </c>
      <c r="CR522" s="4" t="s">
        <v>1</v>
      </c>
      <c r="CS522" s="4" t="s">
        <v>1</v>
      </c>
      <c r="CT522" s="4" t="s">
        <v>1</v>
      </c>
      <c r="CU522" s="4" t="s">
        <v>1</v>
      </c>
      <c r="CV522" t="s">
        <v>1</v>
      </c>
      <c r="CW522" t="s">
        <v>1</v>
      </c>
      <c r="CX522" t="s">
        <v>1</v>
      </c>
      <c r="CY522" t="s">
        <v>1</v>
      </c>
      <c r="CZ522" t="s">
        <v>1</v>
      </c>
      <c r="DA522" t="s">
        <v>734</v>
      </c>
      <c r="DB522">
        <v>21.5</v>
      </c>
      <c r="DC522">
        <v>0</v>
      </c>
      <c r="DD522">
        <v>30</v>
      </c>
      <c r="DE522" s="26" t="s">
        <v>1358</v>
      </c>
      <c r="DF522" t="s">
        <v>735</v>
      </c>
      <c r="DG522">
        <v>33</v>
      </c>
      <c r="DH522">
        <v>0</v>
      </c>
      <c r="DI522">
        <v>30</v>
      </c>
      <c r="DJ522" s="26" t="s">
        <v>1358</v>
      </c>
      <c r="DK522" t="s">
        <v>736</v>
      </c>
      <c r="DL522">
        <v>45.5</v>
      </c>
      <c r="DM522">
        <v>0</v>
      </c>
      <c r="DN522">
        <v>30</v>
      </c>
      <c r="DO522" s="26" t="s">
        <v>1358</v>
      </c>
      <c r="DP522" t="s">
        <v>1</v>
      </c>
      <c r="DQ522" t="s">
        <v>1</v>
      </c>
      <c r="DR522" t="s">
        <v>1</v>
      </c>
      <c r="DS522" t="s">
        <v>1</v>
      </c>
      <c r="DT522" t="s">
        <v>1</v>
      </c>
      <c r="DU522" t="s">
        <v>1</v>
      </c>
      <c r="EA522" t="s">
        <v>1</v>
      </c>
      <c r="EB522" t="s">
        <v>1</v>
      </c>
      <c r="EC522" t="s">
        <v>1</v>
      </c>
      <c r="ED522" t="s">
        <v>1</v>
      </c>
      <c r="EE522" t="s">
        <v>1</v>
      </c>
      <c r="FZ522" t="s">
        <v>806</v>
      </c>
      <c r="GA522">
        <v>989.5</v>
      </c>
      <c r="GE522" s="26" t="s">
        <v>1358</v>
      </c>
      <c r="HA522" s="5" t="s">
        <v>1</v>
      </c>
      <c r="HB522" s="4" t="s">
        <v>1</v>
      </c>
      <c r="HC522" t="s">
        <v>1</v>
      </c>
      <c r="HD522" t="s">
        <v>1</v>
      </c>
      <c r="HE522" t="s">
        <v>1</v>
      </c>
      <c r="HF522" s="5" t="s">
        <v>1</v>
      </c>
      <c r="HG522" s="4" t="s">
        <v>1</v>
      </c>
      <c r="HH522" t="s">
        <v>1</v>
      </c>
      <c r="HI522" t="s">
        <v>1</v>
      </c>
      <c r="HJ522" t="s">
        <v>1</v>
      </c>
      <c r="HK522" t="s">
        <v>815</v>
      </c>
      <c r="HL522">
        <v>1.19</v>
      </c>
      <c r="HM522">
        <v>0</v>
      </c>
      <c r="HN522">
        <v>30</v>
      </c>
      <c r="HO522" t="s">
        <v>1453</v>
      </c>
      <c r="HP522" s="26" t="s">
        <v>1358</v>
      </c>
      <c r="HZ522" t="s">
        <v>972</v>
      </c>
      <c r="IA522">
        <v>196</v>
      </c>
      <c r="IB522" s="10" t="s">
        <v>1</v>
      </c>
      <c r="IC522" s="10"/>
      <c r="ID522" s="10"/>
      <c r="IE522" s="10" t="s">
        <v>1</v>
      </c>
      <c r="IF522" s="10" t="s">
        <v>1</v>
      </c>
      <c r="IG522" s="10"/>
      <c r="IH522" s="10"/>
      <c r="II522" s="10"/>
      <c r="IJ522" s="10"/>
      <c r="IK522" s="10"/>
      <c r="IL522" s="10"/>
      <c r="IM522" s="10"/>
      <c r="IN522" s="10"/>
      <c r="IO522" s="10"/>
      <c r="IP522" s="10"/>
      <c r="IQ522" s="10"/>
      <c r="IR522" s="10"/>
      <c r="IS522" t="s">
        <v>1</v>
      </c>
      <c r="IT522" t="s">
        <v>1</v>
      </c>
      <c r="IW522" t="s">
        <v>1</v>
      </c>
      <c r="IX522" t="s">
        <v>1</v>
      </c>
      <c r="IY522" t="s">
        <v>1</v>
      </c>
      <c r="IZ522" t="s">
        <v>1</v>
      </c>
      <c r="JA522" t="s">
        <v>1</v>
      </c>
      <c r="JB522" s="3" t="s">
        <v>1</v>
      </c>
      <c r="JC522" t="s">
        <v>1</v>
      </c>
      <c r="JD522" s="4" t="s">
        <v>1</v>
      </c>
      <c r="JE522" t="s">
        <v>810</v>
      </c>
      <c r="JF522">
        <v>100</v>
      </c>
      <c r="JR522" t="s">
        <v>1066</v>
      </c>
      <c r="JS522">
        <v>90.3</v>
      </c>
      <c r="JU522" t="s">
        <v>1</v>
      </c>
      <c r="JW522" t="s">
        <v>1</v>
      </c>
      <c r="JX522">
        <v>0</v>
      </c>
      <c r="JY522">
        <v>122</v>
      </c>
      <c r="JZ522" t="s">
        <v>797</v>
      </c>
      <c r="KA522" t="s">
        <v>147</v>
      </c>
      <c r="KB522" t="s">
        <v>738</v>
      </c>
      <c r="KC522" t="s">
        <v>1</v>
      </c>
      <c r="KD522" t="s">
        <v>1</v>
      </c>
      <c r="KE522" t="s">
        <v>1</v>
      </c>
      <c r="KF522" t="s">
        <v>1</v>
      </c>
      <c r="KG522" t="s">
        <v>1</v>
      </c>
      <c r="KH522" t="s">
        <v>1</v>
      </c>
      <c r="KI522" t="s">
        <v>1</v>
      </c>
      <c r="KJ522" t="s">
        <v>1</v>
      </c>
      <c r="KK522" t="s">
        <v>1</v>
      </c>
    </row>
    <row r="523" spans="1:297" x14ac:dyDescent="0.2">
      <c r="A523">
        <v>491</v>
      </c>
      <c r="B523" t="s">
        <v>705</v>
      </c>
      <c r="C523" t="s">
        <v>604</v>
      </c>
      <c r="D523" t="s">
        <v>601</v>
      </c>
      <c r="E523">
        <v>81</v>
      </c>
      <c r="F523" t="s">
        <v>602</v>
      </c>
      <c r="G523" t="s">
        <v>1</v>
      </c>
      <c r="H523" s="26" t="s">
        <v>1420</v>
      </c>
      <c r="I523" t="s">
        <v>1</v>
      </c>
      <c r="J523" t="s">
        <v>1</v>
      </c>
      <c r="K523" t="s">
        <v>1</v>
      </c>
      <c r="L523" t="s">
        <v>1</v>
      </c>
      <c r="M523" t="s">
        <v>1</v>
      </c>
      <c r="N523" t="s">
        <v>1</v>
      </c>
      <c r="O523" t="s">
        <v>1</v>
      </c>
      <c r="P523" t="s">
        <v>1</v>
      </c>
      <c r="Q523" t="s">
        <v>1</v>
      </c>
      <c r="R523" t="s">
        <v>1</v>
      </c>
      <c r="S523" t="s">
        <v>1</v>
      </c>
      <c r="T523" t="s">
        <v>1</v>
      </c>
      <c r="U523" t="s">
        <v>1</v>
      </c>
      <c r="V523" t="s">
        <v>1</v>
      </c>
      <c r="W523" t="s">
        <v>1</v>
      </c>
      <c r="X523" t="s">
        <v>1</v>
      </c>
      <c r="Y523" t="s">
        <v>1</v>
      </c>
      <c r="Z523" t="s">
        <v>1</v>
      </c>
      <c r="AA523" t="s">
        <v>1</v>
      </c>
      <c r="AB523" t="s">
        <v>1</v>
      </c>
      <c r="AC523" t="s">
        <v>1</v>
      </c>
      <c r="AD523" t="s">
        <v>1</v>
      </c>
      <c r="AE523" t="s">
        <v>1</v>
      </c>
      <c r="AF523" t="s">
        <v>1</v>
      </c>
      <c r="AG523" t="s">
        <v>1</v>
      </c>
      <c r="AH523" t="s">
        <v>1</v>
      </c>
      <c r="AI523" t="s">
        <v>1</v>
      </c>
      <c r="AJ523" t="s">
        <v>1</v>
      </c>
      <c r="AK523" t="s">
        <v>1</v>
      </c>
      <c r="AL523" t="s">
        <v>1</v>
      </c>
      <c r="AM523" t="s">
        <v>1</v>
      </c>
      <c r="AN523">
        <v>491</v>
      </c>
      <c r="AO523">
        <f t="shared" si="69"/>
        <v>491</v>
      </c>
      <c r="AP523">
        <f t="shared" si="72"/>
        <v>81</v>
      </c>
      <c r="AQ523">
        <f t="shared" si="71"/>
        <v>81</v>
      </c>
      <c r="AR523" s="26" t="s">
        <v>1355</v>
      </c>
      <c r="AS523" s="26" t="s">
        <v>1356</v>
      </c>
      <c r="AT523" t="s">
        <v>713</v>
      </c>
      <c r="AU523" t="s">
        <v>1</v>
      </c>
      <c r="AV523" t="s">
        <v>1</v>
      </c>
      <c r="AW523">
        <v>42.2</v>
      </c>
      <c r="AX523">
        <v>-93.6</v>
      </c>
      <c r="AY523" t="s">
        <v>737</v>
      </c>
      <c r="BA523" s="3">
        <v>2</v>
      </c>
      <c r="BB523" s="3"/>
      <c r="BC523" s="3"/>
      <c r="BD523" s="3"/>
      <c r="BE523" s="3"/>
      <c r="BF523">
        <v>2012</v>
      </c>
      <c r="BG523" s="24" t="s">
        <v>733</v>
      </c>
      <c r="BH523" s="24" t="s">
        <v>733</v>
      </c>
      <c r="BI523" s="24" t="s">
        <v>733</v>
      </c>
      <c r="BJ523" s="24" t="s">
        <v>732</v>
      </c>
      <c r="BK523" s="24" t="s">
        <v>733</v>
      </c>
      <c r="BL523" s="25" t="s">
        <v>733</v>
      </c>
      <c r="BM523" s="24" t="s">
        <v>733</v>
      </c>
      <c r="BN523" s="24" t="s">
        <v>732</v>
      </c>
      <c r="BO523" s="24" t="s">
        <v>733</v>
      </c>
      <c r="BP523" s="24" t="s">
        <v>733</v>
      </c>
      <c r="BQ523" s="24" t="s">
        <v>945</v>
      </c>
      <c r="BR523" s="24" t="s">
        <v>945</v>
      </c>
      <c r="BS523" s="25" t="s">
        <v>934</v>
      </c>
      <c r="BT523" s="24" t="s">
        <v>934</v>
      </c>
      <c r="BU523" s="24" t="s">
        <v>934</v>
      </c>
      <c r="BV523" s="24" t="s">
        <v>934</v>
      </c>
      <c r="BW523" s="24" t="s">
        <v>934</v>
      </c>
      <c r="BX523" s="24" t="s">
        <v>934</v>
      </c>
      <c r="BY523" s="25" t="s">
        <v>945</v>
      </c>
      <c r="BZ523" t="s">
        <v>5</v>
      </c>
      <c r="CB523" t="s">
        <v>1</v>
      </c>
      <c r="CC523" s="4">
        <f>13.2*84.5%*1000</f>
        <v>11154</v>
      </c>
      <c r="CD523" s="4"/>
      <c r="CE523" s="4"/>
      <c r="CF523" t="s">
        <v>793</v>
      </c>
      <c r="CG523">
        <v>100</v>
      </c>
      <c r="CH523" t="s">
        <v>805</v>
      </c>
      <c r="CI523" s="1">
        <v>1.6</v>
      </c>
      <c r="CJ523" s="10" t="s">
        <v>1442</v>
      </c>
      <c r="CK523" s="9" t="s">
        <v>1</v>
      </c>
      <c r="CL523" s="4" t="s">
        <v>1</v>
      </c>
      <c r="CM523" t="s">
        <v>848</v>
      </c>
      <c r="CN523" s="4" t="s">
        <v>1</v>
      </c>
      <c r="CO523" s="4" t="s">
        <v>1</v>
      </c>
      <c r="CP523" s="4" t="s">
        <v>1</v>
      </c>
      <c r="CQ523" s="4" t="s">
        <v>1</v>
      </c>
      <c r="CR523" s="4" t="s">
        <v>1</v>
      </c>
      <c r="CS523" s="4" t="s">
        <v>1</v>
      </c>
      <c r="CT523" s="4" t="s">
        <v>1</v>
      </c>
      <c r="CU523" s="4" t="s">
        <v>1</v>
      </c>
      <c r="CV523" t="s">
        <v>1</v>
      </c>
      <c r="CW523" t="s">
        <v>1</v>
      </c>
      <c r="CX523" t="s">
        <v>1</v>
      </c>
      <c r="CY523" t="s">
        <v>1</v>
      </c>
      <c r="CZ523" t="s">
        <v>1</v>
      </c>
      <c r="DA523" t="s">
        <v>734</v>
      </c>
      <c r="DB523">
        <v>21.5</v>
      </c>
      <c r="DC523">
        <v>0</v>
      </c>
      <c r="DD523">
        <v>30</v>
      </c>
      <c r="DE523" s="26" t="s">
        <v>1358</v>
      </c>
      <c r="DF523" t="s">
        <v>735</v>
      </c>
      <c r="DG523">
        <v>33</v>
      </c>
      <c r="DH523">
        <v>0</v>
      </c>
      <c r="DI523">
        <v>30</v>
      </c>
      <c r="DJ523" s="26" t="s">
        <v>1358</v>
      </c>
      <c r="DK523" t="s">
        <v>736</v>
      </c>
      <c r="DL523">
        <v>45.5</v>
      </c>
      <c r="DM523">
        <v>0</v>
      </c>
      <c r="DN523">
        <v>30</v>
      </c>
      <c r="DO523" s="26" t="s">
        <v>1358</v>
      </c>
      <c r="DP523" t="s">
        <v>1</v>
      </c>
      <c r="DQ523" t="s">
        <v>1</v>
      </c>
      <c r="DR523" t="s">
        <v>1</v>
      </c>
      <c r="DS523" t="s">
        <v>1</v>
      </c>
      <c r="DT523" t="s">
        <v>1</v>
      </c>
      <c r="DU523" t="s">
        <v>1</v>
      </c>
      <c r="EA523" t="s">
        <v>1</v>
      </c>
      <c r="EB523" t="s">
        <v>1</v>
      </c>
      <c r="EC523" t="s">
        <v>1</v>
      </c>
      <c r="ED523" t="s">
        <v>1</v>
      </c>
      <c r="EE523" t="s">
        <v>1</v>
      </c>
      <c r="FZ523" t="s">
        <v>806</v>
      </c>
      <c r="GA523">
        <v>989.5</v>
      </c>
      <c r="GE523" s="26" t="s">
        <v>1358</v>
      </c>
      <c r="HA523" s="5" t="s">
        <v>1</v>
      </c>
      <c r="HB523" s="4" t="s">
        <v>1</v>
      </c>
      <c r="HC523" t="s">
        <v>1</v>
      </c>
      <c r="HD523" t="s">
        <v>1</v>
      </c>
      <c r="HE523" t="s">
        <v>1</v>
      </c>
      <c r="HF523" s="5" t="s">
        <v>1</v>
      </c>
      <c r="HG523" s="4" t="s">
        <v>1</v>
      </c>
      <c r="HH523" t="s">
        <v>1</v>
      </c>
      <c r="HI523" t="s">
        <v>1</v>
      </c>
      <c r="HJ523" t="s">
        <v>1</v>
      </c>
      <c r="HK523" t="s">
        <v>815</v>
      </c>
      <c r="HL523">
        <v>1.19</v>
      </c>
      <c r="HM523">
        <v>0</v>
      </c>
      <c r="HN523">
        <v>30</v>
      </c>
      <c r="HO523" t="s">
        <v>1453</v>
      </c>
      <c r="HP523" s="26" t="s">
        <v>1358</v>
      </c>
      <c r="HZ523" t="s">
        <v>972</v>
      </c>
      <c r="IA523">
        <v>438</v>
      </c>
      <c r="IB523" s="10" t="s">
        <v>1</v>
      </c>
      <c r="IC523" s="10"/>
      <c r="ID523" s="10"/>
      <c r="IE523" s="10" t="s">
        <v>1</v>
      </c>
      <c r="IF523" s="10" t="s">
        <v>1</v>
      </c>
      <c r="IG523" s="10"/>
      <c r="IH523" s="10"/>
      <c r="II523" s="10"/>
      <c r="IJ523" s="10"/>
      <c r="IK523" s="10"/>
      <c r="IL523" s="10"/>
      <c r="IM523" s="10"/>
      <c r="IN523" s="10"/>
      <c r="IO523" s="10"/>
      <c r="IP523" s="10"/>
      <c r="IQ523" s="10"/>
      <c r="IR523" s="10"/>
      <c r="IS523" t="s">
        <v>1</v>
      </c>
      <c r="IT523" t="s">
        <v>1</v>
      </c>
      <c r="IW523" t="s">
        <v>1</v>
      </c>
      <c r="IX523" t="s">
        <v>1</v>
      </c>
      <c r="IY523" t="s">
        <v>1</v>
      </c>
      <c r="IZ523" t="s">
        <v>1</v>
      </c>
      <c r="JA523" t="s">
        <v>1</v>
      </c>
      <c r="JB523" s="3" t="s">
        <v>1</v>
      </c>
      <c r="JC523" t="s">
        <v>1</v>
      </c>
      <c r="JD523" s="4" t="s">
        <v>1</v>
      </c>
      <c r="JE523" t="s">
        <v>810</v>
      </c>
      <c r="JF523">
        <v>100</v>
      </c>
      <c r="JR523" t="s">
        <v>1066</v>
      </c>
      <c r="JS523">
        <v>200.7</v>
      </c>
      <c r="JU523" t="s">
        <v>1</v>
      </c>
      <c r="JW523" t="s">
        <v>1</v>
      </c>
      <c r="JX523">
        <v>0</v>
      </c>
      <c r="JY523">
        <v>122</v>
      </c>
      <c r="JZ523" t="s">
        <v>797</v>
      </c>
      <c r="KA523" t="s">
        <v>147</v>
      </c>
      <c r="KB523" t="s">
        <v>738</v>
      </c>
      <c r="KC523" t="s">
        <v>1</v>
      </c>
      <c r="KD523" t="s">
        <v>1</v>
      </c>
      <c r="KE523" t="s">
        <v>1</v>
      </c>
      <c r="KF523" t="s">
        <v>1</v>
      </c>
      <c r="KG523" t="s">
        <v>1</v>
      </c>
      <c r="KH523" t="s">
        <v>1</v>
      </c>
      <c r="KI523" t="s">
        <v>1</v>
      </c>
      <c r="KJ523" t="s">
        <v>1</v>
      </c>
      <c r="KK523" t="s">
        <v>1</v>
      </c>
    </row>
    <row r="524" spans="1:297" x14ac:dyDescent="0.2">
      <c r="A524">
        <v>492</v>
      </c>
      <c r="B524" t="s">
        <v>705</v>
      </c>
      <c r="C524" t="s">
        <v>606</v>
      </c>
      <c r="D524" t="s">
        <v>693</v>
      </c>
      <c r="E524">
        <v>82</v>
      </c>
      <c r="F524" t="s">
        <v>605</v>
      </c>
      <c r="G524" t="s">
        <v>1</v>
      </c>
      <c r="H524" s="26" t="s">
        <v>1420</v>
      </c>
      <c r="I524" t="s">
        <v>1</v>
      </c>
      <c r="J524" t="s">
        <v>1</v>
      </c>
      <c r="K524" t="s">
        <v>1</v>
      </c>
      <c r="L524" t="s">
        <v>1</v>
      </c>
      <c r="M524" t="s">
        <v>1</v>
      </c>
      <c r="N524" t="s">
        <v>1</v>
      </c>
      <c r="O524" t="s">
        <v>1</v>
      </c>
      <c r="P524" t="s">
        <v>1</v>
      </c>
      <c r="Q524" t="s">
        <v>1</v>
      </c>
      <c r="R524" t="s">
        <v>1</v>
      </c>
      <c r="S524" t="s">
        <v>1</v>
      </c>
      <c r="T524" t="s">
        <v>1</v>
      </c>
      <c r="U524" t="s">
        <v>1</v>
      </c>
      <c r="V524" t="s">
        <v>1</v>
      </c>
      <c r="W524" t="s">
        <v>1</v>
      </c>
      <c r="X524" t="s">
        <v>1</v>
      </c>
      <c r="Y524" t="s">
        <v>1</v>
      </c>
      <c r="Z524" t="s">
        <v>1</v>
      </c>
      <c r="AA524" t="s">
        <v>1</v>
      </c>
      <c r="AB524" t="s">
        <v>1</v>
      </c>
      <c r="AC524" t="s">
        <v>1</v>
      </c>
      <c r="AD524" t="s">
        <v>1</v>
      </c>
      <c r="AE524" t="s">
        <v>1</v>
      </c>
      <c r="AF524" t="s">
        <v>1</v>
      </c>
      <c r="AG524" t="s">
        <v>1</v>
      </c>
      <c r="AH524" t="s">
        <v>1</v>
      </c>
      <c r="AI524" t="s">
        <v>1</v>
      </c>
      <c r="AJ524" t="s">
        <v>1</v>
      </c>
      <c r="AK524" t="s">
        <v>1</v>
      </c>
      <c r="AL524" t="s">
        <v>1</v>
      </c>
      <c r="AM524" t="s">
        <v>1</v>
      </c>
      <c r="AN524">
        <v>492</v>
      </c>
      <c r="AO524">
        <f t="shared" si="69"/>
        <v>492</v>
      </c>
      <c r="AP524">
        <f t="shared" si="72"/>
        <v>82</v>
      </c>
      <c r="AQ524">
        <f t="shared" si="71"/>
        <v>82</v>
      </c>
      <c r="AR524" s="26" t="s">
        <v>1355</v>
      </c>
      <c r="AS524" s="26" t="s">
        <v>1356</v>
      </c>
      <c r="AT524" t="s">
        <v>711</v>
      </c>
      <c r="AU524" t="s">
        <v>1</v>
      </c>
      <c r="AV524" t="s">
        <v>1</v>
      </c>
      <c r="AW524">
        <v>41.72</v>
      </c>
      <c r="AX524">
        <v>-0.81</v>
      </c>
      <c r="AY524" t="s">
        <v>737</v>
      </c>
      <c r="BA524" s="3">
        <v>2</v>
      </c>
      <c r="BB524" s="3"/>
      <c r="BC524" s="3"/>
      <c r="BD524" s="3"/>
      <c r="BE524" s="3"/>
      <c r="BF524">
        <v>1997</v>
      </c>
      <c r="BG524" s="24" t="s">
        <v>733</v>
      </c>
      <c r="BH524" s="24" t="s">
        <v>733</v>
      </c>
      <c r="BI524" s="24" t="s">
        <v>733</v>
      </c>
      <c r="BJ524" s="24" t="s">
        <v>732</v>
      </c>
      <c r="BK524" s="24" t="s">
        <v>733</v>
      </c>
      <c r="BL524" s="25" t="s">
        <v>733</v>
      </c>
      <c r="BM524" s="24" t="s">
        <v>733</v>
      </c>
      <c r="BN524" s="24" t="s">
        <v>732</v>
      </c>
      <c r="BO524" s="24" t="s">
        <v>733</v>
      </c>
      <c r="BP524" s="24" t="s">
        <v>733</v>
      </c>
      <c r="BQ524" s="24" t="s">
        <v>945</v>
      </c>
      <c r="BR524" s="24" t="s">
        <v>945</v>
      </c>
      <c r="BS524" s="25" t="s">
        <v>934</v>
      </c>
      <c r="BT524" s="24" t="s">
        <v>934</v>
      </c>
      <c r="BU524" s="24" t="s">
        <v>934</v>
      </c>
      <c r="BV524" s="24" t="s">
        <v>934</v>
      </c>
      <c r="BW524" s="24" t="s">
        <v>934</v>
      </c>
      <c r="BX524" s="24" t="s">
        <v>934</v>
      </c>
      <c r="BY524" s="25" t="s">
        <v>945</v>
      </c>
      <c r="BZ524" t="s">
        <v>5</v>
      </c>
      <c r="CB524" t="s">
        <v>1</v>
      </c>
      <c r="CC524" s="4">
        <f>22*1000*0.87</f>
        <v>19140</v>
      </c>
      <c r="CD524" s="4"/>
      <c r="CE524" s="4"/>
      <c r="CF524" t="s">
        <v>793</v>
      </c>
      <c r="CG524">
        <v>100</v>
      </c>
      <c r="CH524" t="s">
        <v>805</v>
      </c>
      <c r="CI524" s="28">
        <v>1</v>
      </c>
      <c r="CJ524" s="10" t="s">
        <v>1442</v>
      </c>
      <c r="CK524" t="s">
        <v>807</v>
      </c>
      <c r="CL524" s="4">
        <f>40.6*1000-19140</f>
        <v>21460</v>
      </c>
      <c r="CM524" t="s">
        <v>847</v>
      </c>
      <c r="CN524" s="15">
        <v>304.5</v>
      </c>
      <c r="CO524" s="4" t="s">
        <v>1</v>
      </c>
      <c r="CP524" s="4" t="s">
        <v>1</v>
      </c>
      <c r="CQ524" s="4" t="s">
        <v>1</v>
      </c>
      <c r="CR524" s="4" t="s">
        <v>1</v>
      </c>
      <c r="CS524" s="4" t="s">
        <v>1</v>
      </c>
      <c r="CT524" s="4" t="s">
        <v>1</v>
      </c>
      <c r="CU524" s="4" t="s">
        <v>1</v>
      </c>
      <c r="CV524" t="s">
        <v>850</v>
      </c>
      <c r="CW524">
        <v>100</v>
      </c>
      <c r="CX524">
        <v>0</v>
      </c>
      <c r="CY524">
        <v>30</v>
      </c>
      <c r="CZ524" s="26" t="s">
        <v>1358</v>
      </c>
      <c r="DA524" t="s">
        <v>734</v>
      </c>
      <c r="DB524">
        <v>30.3</v>
      </c>
      <c r="DC524">
        <v>0</v>
      </c>
      <c r="DD524">
        <v>30</v>
      </c>
      <c r="DE524" s="26" t="s">
        <v>1358</v>
      </c>
      <c r="DF524" t="s">
        <v>735</v>
      </c>
      <c r="DG524">
        <v>41.1</v>
      </c>
      <c r="DH524">
        <v>0</v>
      </c>
      <c r="DI524">
        <v>30</v>
      </c>
      <c r="DJ524" s="26" t="s">
        <v>1358</v>
      </c>
      <c r="DK524" t="s">
        <v>736</v>
      </c>
      <c r="DL524">
        <v>28.6</v>
      </c>
      <c r="DM524">
        <v>0</v>
      </c>
      <c r="DN524">
        <v>30</v>
      </c>
      <c r="DO524" s="26" t="s">
        <v>1358</v>
      </c>
      <c r="DP524" t="s">
        <v>1</v>
      </c>
      <c r="DQ524" t="s">
        <v>1</v>
      </c>
      <c r="DR524" t="s">
        <v>1</v>
      </c>
      <c r="DS524" t="s">
        <v>1</v>
      </c>
      <c r="DT524" t="s">
        <v>1</v>
      </c>
      <c r="DU524" t="s">
        <v>1</v>
      </c>
      <c r="EA524" t="s">
        <v>982</v>
      </c>
      <c r="EB524">
        <v>10.4</v>
      </c>
      <c r="EC524">
        <v>0</v>
      </c>
      <c r="ED524">
        <v>30</v>
      </c>
      <c r="EE524" s="26" t="s">
        <v>1358</v>
      </c>
      <c r="EF524" s="26"/>
      <c r="FZ524" t="s">
        <v>806</v>
      </c>
      <c r="GA524">
        <v>186</v>
      </c>
      <c r="GE524" s="26" t="s">
        <v>1358</v>
      </c>
      <c r="HA524" s="5" t="s">
        <v>1</v>
      </c>
      <c r="HB524" s="4" t="s">
        <v>1</v>
      </c>
      <c r="HC524" t="s">
        <v>1</v>
      </c>
      <c r="HD524" t="s">
        <v>1</v>
      </c>
      <c r="HE524" t="s">
        <v>1</v>
      </c>
      <c r="HF524" s="5" t="s">
        <v>1</v>
      </c>
      <c r="HG524" s="4" t="s">
        <v>1</v>
      </c>
      <c r="HH524" t="s">
        <v>1</v>
      </c>
      <c r="HI524" t="s">
        <v>1</v>
      </c>
      <c r="HJ524" t="s">
        <v>1</v>
      </c>
      <c r="HK524" t="s">
        <v>815</v>
      </c>
      <c r="HL524">
        <v>1.325</v>
      </c>
      <c r="HM524">
        <v>0</v>
      </c>
      <c r="HN524">
        <v>30</v>
      </c>
      <c r="HO524" t="s">
        <v>1</v>
      </c>
      <c r="HP524" s="26" t="s">
        <v>1358</v>
      </c>
      <c r="HZ524" t="s">
        <v>1</v>
      </c>
      <c r="IA524" t="s">
        <v>1</v>
      </c>
      <c r="IB524" s="10" t="s">
        <v>1</v>
      </c>
      <c r="IC524" s="10"/>
      <c r="ID524" s="10"/>
      <c r="IE524" s="10" t="s">
        <v>1</v>
      </c>
      <c r="IF524" s="10" t="s">
        <v>1</v>
      </c>
      <c r="IG524" s="10"/>
      <c r="IH524" s="10"/>
      <c r="II524" s="10"/>
      <c r="IJ524" s="10"/>
      <c r="IK524" s="10"/>
      <c r="IL524" s="10"/>
      <c r="IM524" s="10"/>
      <c r="IN524" s="10"/>
      <c r="IO524" s="10"/>
      <c r="IP524" s="10"/>
      <c r="IQ524" s="10"/>
      <c r="IR524" s="10"/>
      <c r="IS524" t="s">
        <v>1</v>
      </c>
      <c r="IT524" t="s">
        <v>1</v>
      </c>
      <c r="IW524" t="s">
        <v>979</v>
      </c>
      <c r="IX524">
        <v>595</v>
      </c>
      <c r="IY524" t="s">
        <v>808</v>
      </c>
      <c r="IZ524">
        <v>12800</v>
      </c>
      <c r="JA524" t="s">
        <v>1</v>
      </c>
      <c r="JB524" s="3" t="s">
        <v>1</v>
      </c>
      <c r="JC524" t="s">
        <v>965</v>
      </c>
      <c r="JD524" s="4">
        <v>17.3</v>
      </c>
      <c r="JE524" t="s">
        <v>1</v>
      </c>
      <c r="JF524" t="s">
        <v>1</v>
      </c>
      <c r="JR524" t="s">
        <v>1066</v>
      </c>
      <c r="JS524">
        <v>339.1</v>
      </c>
      <c r="JU524" t="s">
        <v>1</v>
      </c>
      <c r="JW524" t="s">
        <v>1</v>
      </c>
      <c r="JX524">
        <v>0</v>
      </c>
      <c r="JY524">
        <v>75</v>
      </c>
      <c r="JZ524" t="s">
        <v>804</v>
      </c>
      <c r="KA524" t="s">
        <v>501</v>
      </c>
      <c r="KB524" t="s">
        <v>738</v>
      </c>
      <c r="KC524" t="s">
        <v>1</v>
      </c>
      <c r="KD524" t="s">
        <v>1</v>
      </c>
      <c r="KE524" t="s">
        <v>1</v>
      </c>
      <c r="KF524" t="s">
        <v>1</v>
      </c>
      <c r="KG524" t="s">
        <v>1</v>
      </c>
      <c r="KH524" t="s">
        <v>1</v>
      </c>
      <c r="KI524" t="s">
        <v>1</v>
      </c>
      <c r="KJ524" t="s">
        <v>1</v>
      </c>
      <c r="KK524" t="s">
        <v>1</v>
      </c>
    </row>
    <row r="525" spans="1:297" x14ac:dyDescent="0.2">
      <c r="A525">
        <v>493</v>
      </c>
      <c r="B525" t="s">
        <v>705</v>
      </c>
      <c r="C525" t="s">
        <v>607</v>
      </c>
      <c r="D525" t="s">
        <v>693</v>
      </c>
      <c r="E525">
        <v>82</v>
      </c>
      <c r="F525" t="s">
        <v>605</v>
      </c>
      <c r="G525" t="s">
        <v>1</v>
      </c>
      <c r="H525" s="26" t="s">
        <v>1420</v>
      </c>
      <c r="I525" t="s">
        <v>1</v>
      </c>
      <c r="J525" t="s">
        <v>1</v>
      </c>
      <c r="K525" t="s">
        <v>1</v>
      </c>
      <c r="L525" t="s">
        <v>1</v>
      </c>
      <c r="M525" t="s">
        <v>1</v>
      </c>
      <c r="N525" t="s">
        <v>1</v>
      </c>
      <c r="O525" t="s">
        <v>1</v>
      </c>
      <c r="P525" t="s">
        <v>1</v>
      </c>
      <c r="Q525" t="s">
        <v>1</v>
      </c>
      <c r="R525" t="s">
        <v>1</v>
      </c>
      <c r="S525" t="s">
        <v>1</v>
      </c>
      <c r="T525" t="s">
        <v>1</v>
      </c>
      <c r="U525" t="s">
        <v>1</v>
      </c>
      <c r="V525" t="s">
        <v>1</v>
      </c>
      <c r="W525" t="s">
        <v>1</v>
      </c>
      <c r="X525" t="s">
        <v>1</v>
      </c>
      <c r="Y525" t="s">
        <v>1</v>
      </c>
      <c r="Z525" t="s">
        <v>1</v>
      </c>
      <c r="AA525" t="s">
        <v>1</v>
      </c>
      <c r="AB525" t="s">
        <v>1</v>
      </c>
      <c r="AC525" t="s">
        <v>1</v>
      </c>
      <c r="AD525" t="s">
        <v>1</v>
      </c>
      <c r="AE525" t="s">
        <v>1</v>
      </c>
      <c r="AF525" t="s">
        <v>1</v>
      </c>
      <c r="AG525" t="s">
        <v>1</v>
      </c>
      <c r="AH525" t="s">
        <v>1</v>
      </c>
      <c r="AI525" t="s">
        <v>1</v>
      </c>
      <c r="AJ525" t="s">
        <v>1</v>
      </c>
      <c r="AK525" t="s">
        <v>1</v>
      </c>
      <c r="AL525" t="s">
        <v>1</v>
      </c>
      <c r="AM525" t="s">
        <v>1</v>
      </c>
      <c r="AN525">
        <v>493</v>
      </c>
      <c r="AO525">
        <f t="shared" si="69"/>
        <v>493</v>
      </c>
      <c r="AP525">
        <f t="shared" si="72"/>
        <v>82</v>
      </c>
      <c r="AQ525">
        <f t="shared" si="71"/>
        <v>82</v>
      </c>
      <c r="AR525" s="26" t="s">
        <v>1355</v>
      </c>
      <c r="AS525" s="26" t="s">
        <v>1356</v>
      </c>
      <c r="AT525" t="s">
        <v>711</v>
      </c>
      <c r="AU525" t="s">
        <v>1</v>
      </c>
      <c r="AV525" t="s">
        <v>1</v>
      </c>
      <c r="AW525">
        <v>41.72</v>
      </c>
      <c r="AX525">
        <v>-0.81</v>
      </c>
      <c r="AY525" t="s">
        <v>737</v>
      </c>
      <c r="BA525" s="3">
        <v>2</v>
      </c>
      <c r="BB525" s="3"/>
      <c r="BC525" s="3"/>
      <c r="BD525" s="3"/>
      <c r="BE525" s="3"/>
      <c r="BF525">
        <v>1997</v>
      </c>
      <c r="BG525" s="24" t="s">
        <v>733</v>
      </c>
      <c r="BH525" s="24" t="s">
        <v>733</v>
      </c>
      <c r="BI525" s="24" t="s">
        <v>733</v>
      </c>
      <c r="BJ525" s="24" t="s">
        <v>732</v>
      </c>
      <c r="BK525" s="24" t="s">
        <v>733</v>
      </c>
      <c r="BL525" s="25" t="s">
        <v>733</v>
      </c>
      <c r="BM525" s="24" t="s">
        <v>733</v>
      </c>
      <c r="BN525" s="24" t="s">
        <v>732</v>
      </c>
      <c r="BO525" s="24" t="s">
        <v>733</v>
      </c>
      <c r="BP525" s="24" t="s">
        <v>733</v>
      </c>
      <c r="BQ525" s="24" t="s">
        <v>945</v>
      </c>
      <c r="BR525" s="24" t="s">
        <v>945</v>
      </c>
      <c r="BS525" s="25" t="s">
        <v>934</v>
      </c>
      <c r="BT525" s="24" t="s">
        <v>934</v>
      </c>
      <c r="BU525" s="24" t="s">
        <v>934</v>
      </c>
      <c r="BV525" s="24" t="s">
        <v>934</v>
      </c>
      <c r="BW525" s="24" t="s">
        <v>934</v>
      </c>
      <c r="BX525" s="24" t="s">
        <v>934</v>
      </c>
      <c r="BY525" s="25" t="s">
        <v>945</v>
      </c>
      <c r="BZ525" t="s">
        <v>5</v>
      </c>
      <c r="CB525" t="s">
        <v>1</v>
      </c>
      <c r="CC525" s="4">
        <f>21.4*1000*0.87</f>
        <v>18618</v>
      </c>
      <c r="CD525" s="4"/>
      <c r="CE525" s="4"/>
      <c r="CF525" t="s">
        <v>793</v>
      </c>
      <c r="CG525">
        <v>100</v>
      </c>
      <c r="CH525" t="s">
        <v>805</v>
      </c>
      <c r="CI525" s="28">
        <v>1</v>
      </c>
      <c r="CJ525" s="10" t="s">
        <v>1442</v>
      </c>
      <c r="CK525" s="9" t="s">
        <v>1</v>
      </c>
      <c r="CL525" s="4" t="s">
        <v>1</v>
      </c>
      <c r="CM525" t="s">
        <v>847</v>
      </c>
      <c r="CN525" s="15">
        <v>292.3</v>
      </c>
      <c r="CO525" s="4" t="s">
        <v>1</v>
      </c>
      <c r="CP525" s="4" t="s">
        <v>1</v>
      </c>
      <c r="CQ525" s="4" t="s">
        <v>1</v>
      </c>
      <c r="CR525" s="4" t="s">
        <v>1</v>
      </c>
      <c r="CS525" s="4" t="s">
        <v>1</v>
      </c>
      <c r="CT525" s="4" t="s">
        <v>1</v>
      </c>
      <c r="CU525" s="4" t="s">
        <v>1</v>
      </c>
      <c r="CV525" t="s">
        <v>850</v>
      </c>
      <c r="CW525">
        <v>100</v>
      </c>
      <c r="CX525">
        <v>0</v>
      </c>
      <c r="CY525">
        <v>30</v>
      </c>
      <c r="CZ525" s="26" t="s">
        <v>1358</v>
      </c>
      <c r="DA525" t="s">
        <v>734</v>
      </c>
      <c r="DB525">
        <v>30.3</v>
      </c>
      <c r="DC525">
        <v>0</v>
      </c>
      <c r="DD525">
        <v>30</v>
      </c>
      <c r="DE525" s="26" t="s">
        <v>1358</v>
      </c>
      <c r="DF525" t="s">
        <v>735</v>
      </c>
      <c r="DG525">
        <v>41.1</v>
      </c>
      <c r="DH525">
        <v>0</v>
      </c>
      <c r="DI525">
        <v>30</v>
      </c>
      <c r="DJ525" s="26" t="s">
        <v>1358</v>
      </c>
      <c r="DK525" t="s">
        <v>736</v>
      </c>
      <c r="DL525">
        <v>28.6</v>
      </c>
      <c r="DM525">
        <v>0</v>
      </c>
      <c r="DN525">
        <v>30</v>
      </c>
      <c r="DO525" s="26" t="s">
        <v>1358</v>
      </c>
      <c r="DP525" t="s">
        <v>1</v>
      </c>
      <c r="DQ525" t="s">
        <v>1</v>
      </c>
      <c r="DR525" t="s">
        <v>1</v>
      </c>
      <c r="DS525" t="s">
        <v>1</v>
      </c>
      <c r="DT525" t="s">
        <v>1</v>
      </c>
      <c r="DU525" t="s">
        <v>1</v>
      </c>
      <c r="EA525" t="s">
        <v>982</v>
      </c>
      <c r="EB525">
        <v>10.4</v>
      </c>
      <c r="EC525">
        <v>0</v>
      </c>
      <c r="ED525">
        <v>30</v>
      </c>
      <c r="EE525" s="26" t="s">
        <v>1358</v>
      </c>
      <c r="EF525" s="26"/>
      <c r="FZ525" t="s">
        <v>806</v>
      </c>
      <c r="GA525">
        <v>186</v>
      </c>
      <c r="GE525" s="26" t="s">
        <v>1358</v>
      </c>
      <c r="HA525" s="5" t="s">
        <v>1</v>
      </c>
      <c r="HB525" s="4" t="s">
        <v>1</v>
      </c>
      <c r="HC525" t="s">
        <v>1</v>
      </c>
      <c r="HD525" t="s">
        <v>1</v>
      </c>
      <c r="HE525" t="s">
        <v>1</v>
      </c>
      <c r="HF525" s="5" t="s">
        <v>1</v>
      </c>
      <c r="HG525" s="4" t="s">
        <v>1</v>
      </c>
      <c r="HH525" t="s">
        <v>1</v>
      </c>
      <c r="HI525" t="s">
        <v>1</v>
      </c>
      <c r="HJ525" t="s">
        <v>1</v>
      </c>
      <c r="HK525" t="s">
        <v>815</v>
      </c>
      <c r="HL525">
        <v>1.325</v>
      </c>
      <c r="HM525">
        <v>0</v>
      </c>
      <c r="HN525">
        <v>30</v>
      </c>
      <c r="HO525" t="s">
        <v>1</v>
      </c>
      <c r="HP525" s="26" t="s">
        <v>1358</v>
      </c>
      <c r="HZ525" t="s">
        <v>1</v>
      </c>
      <c r="IA525" t="s">
        <v>1</v>
      </c>
      <c r="IB525" s="10" t="s">
        <v>1</v>
      </c>
      <c r="IC525" s="10"/>
      <c r="ID525" s="10"/>
      <c r="IE525" s="10" t="s">
        <v>1</v>
      </c>
      <c r="IF525" s="10" t="s">
        <v>1</v>
      </c>
      <c r="IG525" s="10"/>
      <c r="IH525" s="10"/>
      <c r="II525" s="10"/>
      <c r="IJ525" s="10"/>
      <c r="IK525" s="10"/>
      <c r="IL525" s="10"/>
      <c r="IM525" s="10"/>
      <c r="IN525" s="10"/>
      <c r="IO525" s="10"/>
      <c r="IP525" s="10"/>
      <c r="IQ525" s="10"/>
      <c r="IR525" s="10"/>
      <c r="IS525" t="s">
        <v>1</v>
      </c>
      <c r="IT525" t="s">
        <v>1</v>
      </c>
      <c r="IW525" t="s">
        <v>979</v>
      </c>
      <c r="IX525">
        <v>1190</v>
      </c>
      <c r="IY525" t="s">
        <v>808</v>
      </c>
      <c r="IZ525">
        <v>12800</v>
      </c>
      <c r="JA525" t="s">
        <v>1</v>
      </c>
      <c r="JB525" s="3" t="s">
        <v>1</v>
      </c>
      <c r="JC525" t="s">
        <v>965</v>
      </c>
      <c r="JD525" s="4">
        <v>17.3</v>
      </c>
      <c r="JE525" t="s">
        <v>1</v>
      </c>
      <c r="JF525" t="s">
        <v>1</v>
      </c>
      <c r="JR525" t="s">
        <v>1066</v>
      </c>
      <c r="JS525">
        <v>1387.8</v>
      </c>
      <c r="JU525" t="s">
        <v>1</v>
      </c>
      <c r="JW525" t="s">
        <v>1</v>
      </c>
      <c r="JX525">
        <v>0</v>
      </c>
      <c r="JY525">
        <v>75</v>
      </c>
      <c r="JZ525" t="s">
        <v>804</v>
      </c>
      <c r="KA525" t="s">
        <v>501</v>
      </c>
      <c r="KB525" t="s">
        <v>738</v>
      </c>
      <c r="KC525" t="s">
        <v>1</v>
      </c>
      <c r="KD525" t="s">
        <v>1</v>
      </c>
      <c r="KE525" t="s">
        <v>1</v>
      </c>
      <c r="KF525" t="s">
        <v>1</v>
      </c>
      <c r="KG525" t="s">
        <v>1</v>
      </c>
      <c r="KH525" t="s">
        <v>1</v>
      </c>
      <c r="KI525" t="s">
        <v>1</v>
      </c>
      <c r="KJ525" t="s">
        <v>1</v>
      </c>
      <c r="KK525" t="s">
        <v>1</v>
      </c>
    </row>
    <row r="526" spans="1:297" x14ac:dyDescent="0.2">
      <c r="A526">
        <v>494</v>
      </c>
      <c r="B526" t="s">
        <v>705</v>
      </c>
      <c r="C526" t="s">
        <v>609</v>
      </c>
      <c r="D526" t="s">
        <v>694</v>
      </c>
      <c r="E526">
        <v>83</v>
      </c>
      <c r="F526" t="s">
        <v>608</v>
      </c>
      <c r="G526" t="s">
        <v>1</v>
      </c>
      <c r="H526" s="26" t="s">
        <v>1420</v>
      </c>
      <c r="I526" t="s">
        <v>1</v>
      </c>
      <c r="J526" t="s">
        <v>1</v>
      </c>
      <c r="K526" t="s">
        <v>1</v>
      </c>
      <c r="L526" t="s">
        <v>1</v>
      </c>
      <c r="M526" t="s">
        <v>1</v>
      </c>
      <c r="N526" t="s">
        <v>1</v>
      </c>
      <c r="O526" t="s">
        <v>1</v>
      </c>
      <c r="P526" t="s">
        <v>1</v>
      </c>
      <c r="Q526" t="s">
        <v>1</v>
      </c>
      <c r="R526" t="s">
        <v>1</v>
      </c>
      <c r="S526" t="s">
        <v>1</v>
      </c>
      <c r="T526" t="s">
        <v>1</v>
      </c>
      <c r="U526" t="s">
        <v>1</v>
      </c>
      <c r="V526" t="s">
        <v>1</v>
      </c>
      <c r="W526" t="s">
        <v>1</v>
      </c>
      <c r="X526" t="s">
        <v>1</v>
      </c>
      <c r="Y526" t="s">
        <v>1</v>
      </c>
      <c r="Z526" t="s">
        <v>1</v>
      </c>
      <c r="AA526" t="s">
        <v>1</v>
      </c>
      <c r="AB526" t="s">
        <v>1</v>
      </c>
      <c r="AC526" t="s">
        <v>1</v>
      </c>
      <c r="AD526" t="s">
        <v>1</v>
      </c>
      <c r="AE526" t="s">
        <v>1</v>
      </c>
      <c r="AF526" t="s">
        <v>1</v>
      </c>
      <c r="AG526" t="s">
        <v>1</v>
      </c>
      <c r="AH526" t="s">
        <v>1</v>
      </c>
      <c r="AI526" t="s">
        <v>1</v>
      </c>
      <c r="AJ526" t="s">
        <v>1</v>
      </c>
      <c r="AK526" t="s">
        <v>1</v>
      </c>
      <c r="AL526" t="s">
        <v>1</v>
      </c>
      <c r="AM526" t="s">
        <v>1</v>
      </c>
      <c r="AN526">
        <v>494</v>
      </c>
      <c r="AO526">
        <f t="shared" si="69"/>
        <v>494</v>
      </c>
      <c r="AP526">
        <f t="shared" si="72"/>
        <v>83</v>
      </c>
      <c r="AQ526">
        <f t="shared" si="71"/>
        <v>83</v>
      </c>
      <c r="AR526" s="26" t="s">
        <v>1355</v>
      </c>
      <c r="AS526" s="26" t="s">
        <v>1356</v>
      </c>
      <c r="AT526" t="s">
        <v>711</v>
      </c>
      <c r="AU526" t="s">
        <v>1</v>
      </c>
      <c r="AV526" t="s">
        <v>1</v>
      </c>
      <c r="AW526">
        <v>41.73</v>
      </c>
      <c r="AX526">
        <v>-0.82</v>
      </c>
      <c r="AY526" t="s">
        <v>737</v>
      </c>
      <c r="BA526" s="3">
        <v>3</v>
      </c>
      <c r="BB526" s="3"/>
      <c r="BC526" s="3"/>
      <c r="BD526" s="3"/>
      <c r="BE526" s="3"/>
      <c r="BF526">
        <v>2003</v>
      </c>
      <c r="BG526" s="24" t="s">
        <v>733</v>
      </c>
      <c r="BH526" s="24" t="s">
        <v>733</v>
      </c>
      <c r="BI526" s="24" t="s">
        <v>733</v>
      </c>
      <c r="BJ526" s="24" t="s">
        <v>732</v>
      </c>
      <c r="BK526" s="24" t="s">
        <v>733</v>
      </c>
      <c r="BL526" s="25" t="s">
        <v>733</v>
      </c>
      <c r="BM526" s="24" t="s">
        <v>733</v>
      </c>
      <c r="BN526" s="24" t="s">
        <v>732</v>
      </c>
      <c r="BO526" s="24" t="s">
        <v>733</v>
      </c>
      <c r="BP526" s="24" t="s">
        <v>733</v>
      </c>
      <c r="BQ526" s="24" t="s">
        <v>945</v>
      </c>
      <c r="BR526" s="24" t="s">
        <v>945</v>
      </c>
      <c r="BS526" s="25" t="s">
        <v>934</v>
      </c>
      <c r="BT526" s="24" t="s">
        <v>934</v>
      </c>
      <c r="BU526" s="24" t="s">
        <v>934</v>
      </c>
      <c r="BV526" s="24" t="s">
        <v>934</v>
      </c>
      <c r="BW526" s="24" t="s">
        <v>934</v>
      </c>
      <c r="BX526" s="24" t="s">
        <v>934</v>
      </c>
      <c r="BY526" s="25" t="s">
        <v>945</v>
      </c>
      <c r="BZ526" t="s">
        <v>5</v>
      </c>
      <c r="CB526" t="s">
        <v>1</v>
      </c>
      <c r="CC526" s="34">
        <f>AVERAGE(13.6,11.9,15.6,14.3)*1000*0.87</f>
        <v>12049.500000000002</v>
      </c>
      <c r="CD526" s="34"/>
      <c r="CE526" s="34"/>
      <c r="CF526" t="s">
        <v>793</v>
      </c>
      <c r="CG526">
        <v>100</v>
      </c>
      <c r="CH526" t="s">
        <v>805</v>
      </c>
      <c r="CI526" s="28">
        <v>1</v>
      </c>
      <c r="CJ526" s="10" t="s">
        <v>1442</v>
      </c>
      <c r="CK526" t="s">
        <v>807</v>
      </c>
      <c r="CL526" s="34">
        <f>AVERAGE(27.1,30.1,29.4,26.6)*1000-12049.5</f>
        <v>16250.499999999996</v>
      </c>
      <c r="CM526" t="s">
        <v>847</v>
      </c>
      <c r="CN526" s="34">
        <f>1237/4</f>
        <v>309.25</v>
      </c>
      <c r="CO526" s="4" t="s">
        <v>1</v>
      </c>
      <c r="CP526" s="4" t="s">
        <v>1</v>
      </c>
      <c r="CQ526" s="4" t="s">
        <v>1</v>
      </c>
      <c r="CR526" s="4" t="s">
        <v>1</v>
      </c>
      <c r="CS526" s="4" t="s">
        <v>1</v>
      </c>
      <c r="CT526" s="4" t="s">
        <v>1</v>
      </c>
      <c r="CU526" s="4" t="s">
        <v>1</v>
      </c>
      <c r="CV526" t="s">
        <v>855</v>
      </c>
      <c r="CW526">
        <v>100</v>
      </c>
      <c r="CX526">
        <v>0</v>
      </c>
      <c r="CY526">
        <v>30</v>
      </c>
      <c r="CZ526" s="26" t="s">
        <v>1358</v>
      </c>
      <c r="DA526" t="s">
        <v>734</v>
      </c>
      <c r="DB526">
        <v>52.5</v>
      </c>
      <c r="DC526">
        <v>0</v>
      </c>
      <c r="DD526">
        <v>30</v>
      </c>
      <c r="DE526" s="26" t="s">
        <v>1358</v>
      </c>
      <c r="DF526" t="s">
        <v>735</v>
      </c>
      <c r="DG526">
        <v>34.299999999999997</v>
      </c>
      <c r="DH526">
        <v>0</v>
      </c>
      <c r="DI526">
        <v>30</v>
      </c>
      <c r="DJ526" s="26" t="s">
        <v>1358</v>
      </c>
      <c r="DK526" t="s">
        <v>736</v>
      </c>
      <c r="DL526">
        <v>13.2</v>
      </c>
      <c r="DM526">
        <v>0</v>
      </c>
      <c r="DN526">
        <v>30</v>
      </c>
      <c r="DO526" s="26" t="s">
        <v>1358</v>
      </c>
      <c r="DP526" t="s">
        <v>6</v>
      </c>
      <c r="DQ526" t="s">
        <v>1</v>
      </c>
      <c r="DR526">
        <v>8.4</v>
      </c>
      <c r="DS526">
        <v>0</v>
      </c>
      <c r="DT526">
        <v>30</v>
      </c>
      <c r="DU526" s="26" t="s">
        <v>1358</v>
      </c>
      <c r="EA526" t="s">
        <v>982</v>
      </c>
      <c r="EB526">
        <v>11.100000000000001</v>
      </c>
      <c r="EC526">
        <v>0</v>
      </c>
      <c r="ED526">
        <v>30</v>
      </c>
      <c r="EE526" s="26" t="s">
        <v>1358</v>
      </c>
      <c r="EF526" s="26"/>
      <c r="FZ526" t="s">
        <v>806</v>
      </c>
      <c r="GA526">
        <v>411.75</v>
      </c>
      <c r="GE526" s="26" t="s">
        <v>1358</v>
      </c>
      <c r="HA526" s="5" t="s">
        <v>1</v>
      </c>
      <c r="HB526" s="4" t="s">
        <v>1</v>
      </c>
      <c r="HC526" t="s">
        <v>1</v>
      </c>
      <c r="HD526" t="s">
        <v>1</v>
      </c>
      <c r="HE526" t="s">
        <v>1</v>
      </c>
      <c r="HF526" s="5" t="s">
        <v>1</v>
      </c>
      <c r="HG526" s="4" t="s">
        <v>1</v>
      </c>
      <c r="HH526" t="s">
        <v>1</v>
      </c>
      <c r="HI526" t="s">
        <v>1</v>
      </c>
      <c r="HJ526" t="s">
        <v>1</v>
      </c>
      <c r="HK526" t="s">
        <v>1</v>
      </c>
      <c r="HL526" t="s">
        <v>1</v>
      </c>
      <c r="HM526" t="s">
        <v>1</v>
      </c>
      <c r="HN526" t="s">
        <v>1</v>
      </c>
      <c r="HO526" t="s">
        <v>1</v>
      </c>
      <c r="HP526" t="s">
        <v>1</v>
      </c>
      <c r="HZ526" t="s">
        <v>966</v>
      </c>
      <c r="IA526">
        <v>126</v>
      </c>
      <c r="IB526" s="5" t="s">
        <v>1</v>
      </c>
      <c r="IC526" s="5"/>
      <c r="ID526" s="5"/>
      <c r="IE526" s="10" t="s">
        <v>1</v>
      </c>
      <c r="IF526" s="10" t="s">
        <v>1</v>
      </c>
      <c r="IG526" s="10"/>
      <c r="IH526" s="10"/>
      <c r="II526" s="10"/>
      <c r="IJ526" s="10"/>
      <c r="IK526" s="10"/>
      <c r="IL526" s="10"/>
      <c r="IM526" s="10"/>
      <c r="IN526" s="10"/>
      <c r="IO526" s="10"/>
      <c r="IP526" s="10"/>
      <c r="IQ526" s="10"/>
      <c r="IR526" s="10"/>
      <c r="IS526" t="s">
        <v>1</v>
      </c>
      <c r="IT526" t="s">
        <v>1</v>
      </c>
      <c r="IW526" t="s">
        <v>979</v>
      </c>
      <c r="IX526">
        <v>291</v>
      </c>
      <c r="IY526" t="s">
        <v>808</v>
      </c>
      <c r="IZ526">
        <v>8842.5</v>
      </c>
      <c r="JA526" t="s">
        <v>1</v>
      </c>
      <c r="JB526" s="3" t="s">
        <v>1</v>
      </c>
      <c r="JC526" t="s">
        <v>965</v>
      </c>
      <c r="JD526" s="4">
        <f>122/4</f>
        <v>30.5</v>
      </c>
      <c r="JE526" t="s">
        <v>1</v>
      </c>
      <c r="JF526" t="s">
        <v>1</v>
      </c>
      <c r="JR526" t="s">
        <v>1066</v>
      </c>
      <c r="JS526">
        <v>620.79999999999995</v>
      </c>
      <c r="JU526" t="s">
        <v>1</v>
      </c>
      <c r="JW526" t="s">
        <v>1</v>
      </c>
      <c r="JX526">
        <v>0</v>
      </c>
      <c r="JY526">
        <v>120</v>
      </c>
      <c r="JZ526" t="s">
        <v>804</v>
      </c>
      <c r="KA526" t="s">
        <v>501</v>
      </c>
      <c r="KB526" t="s">
        <v>738</v>
      </c>
      <c r="KC526" t="s">
        <v>1</v>
      </c>
      <c r="KD526" t="s">
        <v>1</v>
      </c>
      <c r="KE526" t="s">
        <v>1</v>
      </c>
      <c r="KF526" t="s">
        <v>1</v>
      </c>
      <c r="KG526" t="s">
        <v>1</v>
      </c>
      <c r="KH526" t="s">
        <v>1</v>
      </c>
      <c r="KI526" t="s">
        <v>1</v>
      </c>
      <c r="KJ526" t="s">
        <v>1</v>
      </c>
      <c r="KK526" t="s">
        <v>1</v>
      </c>
    </row>
    <row r="527" spans="1:297" x14ac:dyDescent="0.2">
      <c r="A527">
        <v>495</v>
      </c>
      <c r="B527" t="s">
        <v>705</v>
      </c>
      <c r="C527" t="s">
        <v>610</v>
      </c>
      <c r="D527" t="s">
        <v>694</v>
      </c>
      <c r="E527">
        <v>83</v>
      </c>
      <c r="F527" t="s">
        <v>608</v>
      </c>
      <c r="G527" t="s">
        <v>1</v>
      </c>
      <c r="H527" s="26" t="s">
        <v>1420</v>
      </c>
      <c r="I527" t="s">
        <v>1</v>
      </c>
      <c r="J527" t="s">
        <v>1</v>
      </c>
      <c r="K527" t="s">
        <v>1</v>
      </c>
      <c r="L527" t="s">
        <v>1</v>
      </c>
      <c r="M527" t="s">
        <v>1</v>
      </c>
      <c r="N527" t="s">
        <v>1</v>
      </c>
      <c r="O527" t="s">
        <v>1</v>
      </c>
      <c r="P527" t="s">
        <v>1</v>
      </c>
      <c r="Q527" t="s">
        <v>1</v>
      </c>
      <c r="R527" t="s">
        <v>1</v>
      </c>
      <c r="S527" t="s">
        <v>1</v>
      </c>
      <c r="T527" t="s">
        <v>1</v>
      </c>
      <c r="U527" t="s">
        <v>1</v>
      </c>
      <c r="V527" t="s">
        <v>1</v>
      </c>
      <c r="W527" t="s">
        <v>1</v>
      </c>
      <c r="X527" t="s">
        <v>1</v>
      </c>
      <c r="Y527" t="s">
        <v>1</v>
      </c>
      <c r="Z527" t="s">
        <v>1</v>
      </c>
      <c r="AA527" t="s">
        <v>1</v>
      </c>
      <c r="AB527" t="s">
        <v>1</v>
      </c>
      <c r="AC527" t="s">
        <v>1</v>
      </c>
      <c r="AD527" t="s">
        <v>1</v>
      </c>
      <c r="AE527" t="s">
        <v>1</v>
      </c>
      <c r="AF527" t="s">
        <v>1</v>
      </c>
      <c r="AG527" t="s">
        <v>1</v>
      </c>
      <c r="AH527" t="s">
        <v>1</v>
      </c>
      <c r="AI527" t="s">
        <v>1</v>
      </c>
      <c r="AJ527" t="s">
        <v>1</v>
      </c>
      <c r="AK527" t="s">
        <v>1</v>
      </c>
      <c r="AL527" t="s">
        <v>1</v>
      </c>
      <c r="AM527" t="s">
        <v>1</v>
      </c>
      <c r="AN527">
        <v>495</v>
      </c>
      <c r="AO527">
        <f t="shared" si="69"/>
        <v>495</v>
      </c>
      <c r="AP527">
        <f t="shared" si="72"/>
        <v>83</v>
      </c>
      <c r="AQ527">
        <f t="shared" si="71"/>
        <v>83</v>
      </c>
      <c r="AR527" s="26" t="s">
        <v>1355</v>
      </c>
      <c r="AS527" s="26" t="s">
        <v>1356</v>
      </c>
      <c r="AT527" t="s">
        <v>711</v>
      </c>
      <c r="AU527" t="s">
        <v>1</v>
      </c>
      <c r="AV527" t="s">
        <v>1</v>
      </c>
      <c r="AW527">
        <v>41.73</v>
      </c>
      <c r="AX527">
        <v>-0.82</v>
      </c>
      <c r="AY527" t="s">
        <v>737</v>
      </c>
      <c r="BA527" s="3">
        <v>3</v>
      </c>
      <c r="BB527" s="3"/>
      <c r="BC527" s="3"/>
      <c r="BD527" s="3"/>
      <c r="BE527" s="3"/>
      <c r="BF527">
        <v>2003</v>
      </c>
      <c r="BG527" s="24" t="s">
        <v>733</v>
      </c>
      <c r="BH527" s="24" t="s">
        <v>733</v>
      </c>
      <c r="BI527" s="24" t="s">
        <v>733</v>
      </c>
      <c r="BJ527" s="24" t="s">
        <v>732</v>
      </c>
      <c r="BK527" s="24" t="s">
        <v>733</v>
      </c>
      <c r="BL527" s="25" t="s">
        <v>733</v>
      </c>
      <c r="BM527" s="24" t="s">
        <v>733</v>
      </c>
      <c r="BN527" s="24" t="s">
        <v>732</v>
      </c>
      <c r="BO527" s="24" t="s">
        <v>733</v>
      </c>
      <c r="BP527" s="24" t="s">
        <v>733</v>
      </c>
      <c r="BQ527" s="24" t="s">
        <v>945</v>
      </c>
      <c r="BR527" s="24" t="s">
        <v>945</v>
      </c>
      <c r="BS527" s="25" t="s">
        <v>934</v>
      </c>
      <c r="BT527" s="24" t="s">
        <v>934</v>
      </c>
      <c r="BU527" s="24" t="s">
        <v>934</v>
      </c>
      <c r="BV527" s="24" t="s">
        <v>934</v>
      </c>
      <c r="BW527" s="24" t="s">
        <v>934</v>
      </c>
      <c r="BX527" s="24" t="s">
        <v>934</v>
      </c>
      <c r="BY527" s="25" t="s">
        <v>945</v>
      </c>
      <c r="BZ527" t="s">
        <v>5</v>
      </c>
      <c r="CB527" t="s">
        <v>1</v>
      </c>
      <c r="CC527" s="34">
        <f>AVERAGE(13.9,11.7,16,14)*1000*0.87</f>
        <v>12093</v>
      </c>
      <c r="CD527" s="34"/>
      <c r="CE527" s="34"/>
      <c r="CF527" t="s">
        <v>793</v>
      </c>
      <c r="CG527">
        <v>100</v>
      </c>
      <c r="CH527" t="s">
        <v>805</v>
      </c>
      <c r="CI527" s="28">
        <v>1</v>
      </c>
      <c r="CJ527" s="10" t="s">
        <v>1442</v>
      </c>
      <c r="CK527" t="s">
        <v>807</v>
      </c>
      <c r="CL527" s="34">
        <f>AVERAGE(28.8,26.4,30,24.7)*1000-12093</f>
        <v>15382</v>
      </c>
      <c r="CM527" t="s">
        <v>847</v>
      </c>
      <c r="CN527" s="34">
        <f>1252/4</f>
        <v>313</v>
      </c>
      <c r="CO527" s="4" t="s">
        <v>1</v>
      </c>
      <c r="CP527" s="4" t="s">
        <v>1</v>
      </c>
      <c r="CQ527" s="4" t="s">
        <v>1</v>
      </c>
      <c r="CR527" s="4" t="s">
        <v>1</v>
      </c>
      <c r="CS527" s="4" t="s">
        <v>1</v>
      </c>
      <c r="CT527" s="4" t="s">
        <v>1</v>
      </c>
      <c r="CU527" s="4" t="s">
        <v>1</v>
      </c>
      <c r="CV527" t="s">
        <v>855</v>
      </c>
      <c r="CW527">
        <v>100</v>
      </c>
      <c r="CX527">
        <v>0</v>
      </c>
      <c r="CY527">
        <v>30</v>
      </c>
      <c r="CZ527" s="26" t="s">
        <v>1358</v>
      </c>
      <c r="DA527" t="s">
        <v>734</v>
      </c>
      <c r="DB527">
        <v>52.5</v>
      </c>
      <c r="DC527">
        <v>0</v>
      </c>
      <c r="DD527">
        <v>30</v>
      </c>
      <c r="DE527" s="26" t="s">
        <v>1358</v>
      </c>
      <c r="DF527" t="s">
        <v>735</v>
      </c>
      <c r="DG527">
        <v>34.299999999999997</v>
      </c>
      <c r="DH527">
        <v>0</v>
      </c>
      <c r="DI527">
        <v>30</v>
      </c>
      <c r="DJ527" s="26" t="s">
        <v>1358</v>
      </c>
      <c r="DK527" t="s">
        <v>736</v>
      </c>
      <c r="DL527">
        <v>13.2</v>
      </c>
      <c r="DM527">
        <v>0</v>
      </c>
      <c r="DN527">
        <v>30</v>
      </c>
      <c r="DO527" s="26" t="s">
        <v>1358</v>
      </c>
      <c r="DP527" t="s">
        <v>6</v>
      </c>
      <c r="DQ527" t="s">
        <v>1</v>
      </c>
      <c r="DR527">
        <v>8.4</v>
      </c>
      <c r="DS527">
        <v>0</v>
      </c>
      <c r="DT527">
        <v>30</v>
      </c>
      <c r="DU527" s="26" t="s">
        <v>1358</v>
      </c>
      <c r="EA527" t="s">
        <v>982</v>
      </c>
      <c r="EB527">
        <v>11.100000000000001</v>
      </c>
      <c r="EC527">
        <v>0</v>
      </c>
      <c r="ED527">
        <v>30</v>
      </c>
      <c r="EE527" s="26" t="s">
        <v>1358</v>
      </c>
      <c r="EF527" s="26"/>
      <c r="FZ527" t="s">
        <v>806</v>
      </c>
      <c r="GA527">
        <v>411.75</v>
      </c>
      <c r="GE527" s="26" t="s">
        <v>1358</v>
      </c>
      <c r="HA527" s="5" t="s">
        <v>1</v>
      </c>
      <c r="HB527" s="4" t="s">
        <v>1</v>
      </c>
      <c r="HC527" t="s">
        <v>1</v>
      </c>
      <c r="HD527" t="s">
        <v>1</v>
      </c>
      <c r="HE527" t="s">
        <v>1</v>
      </c>
      <c r="HF527" s="5" t="s">
        <v>1</v>
      </c>
      <c r="HG527" s="4" t="s">
        <v>1</v>
      </c>
      <c r="HH527" t="s">
        <v>1</v>
      </c>
      <c r="HI527" t="s">
        <v>1</v>
      </c>
      <c r="HJ527" t="s">
        <v>1</v>
      </c>
      <c r="HK527" t="s">
        <v>1</v>
      </c>
      <c r="HL527" t="s">
        <v>1</v>
      </c>
      <c r="HM527" t="s">
        <v>1</v>
      </c>
      <c r="HN527" t="s">
        <v>1</v>
      </c>
      <c r="HO527" t="s">
        <v>1</v>
      </c>
      <c r="HP527" t="s">
        <v>1</v>
      </c>
      <c r="HZ527" t="s">
        <v>966</v>
      </c>
      <c r="IA527">
        <v>126</v>
      </c>
      <c r="IB527" s="5" t="s">
        <v>1</v>
      </c>
      <c r="IC527" s="5"/>
      <c r="ID527" s="5"/>
      <c r="IE527" s="10" t="s">
        <v>1</v>
      </c>
      <c r="IF527" s="10" t="s">
        <v>1</v>
      </c>
      <c r="IG527" s="10"/>
      <c r="IH527" s="10"/>
      <c r="II527" s="10"/>
      <c r="IJ527" s="10"/>
      <c r="IK527" s="10"/>
      <c r="IL527" s="10"/>
      <c r="IM527" s="10"/>
      <c r="IN527" s="10"/>
      <c r="IO527" s="10"/>
      <c r="IP527" s="10"/>
      <c r="IQ527" s="10"/>
      <c r="IR527" s="10"/>
      <c r="IS527" t="s">
        <v>1</v>
      </c>
      <c r="IT527" t="s">
        <v>1</v>
      </c>
      <c r="IW527" t="s">
        <v>979</v>
      </c>
      <c r="IX527">
        <v>436</v>
      </c>
      <c r="IY527" t="s">
        <v>808</v>
      </c>
      <c r="IZ527">
        <v>8842.5</v>
      </c>
      <c r="JA527" t="s">
        <v>1</v>
      </c>
      <c r="JB527" s="3" t="s">
        <v>1</v>
      </c>
      <c r="JC527" t="s">
        <v>965</v>
      </c>
      <c r="JD527" s="4">
        <f>122/4</f>
        <v>30.5</v>
      </c>
      <c r="JE527" t="s">
        <v>1</v>
      </c>
      <c r="JF527" t="s">
        <v>1</v>
      </c>
      <c r="JR527" t="s">
        <v>1066</v>
      </c>
      <c r="JS527">
        <v>863.2</v>
      </c>
      <c r="JU527" t="s">
        <v>1</v>
      </c>
      <c r="JW527" t="s">
        <v>1</v>
      </c>
      <c r="JX527">
        <v>0</v>
      </c>
      <c r="JY527">
        <v>120</v>
      </c>
      <c r="JZ527" t="s">
        <v>804</v>
      </c>
      <c r="KA527" t="s">
        <v>501</v>
      </c>
      <c r="KB527" t="s">
        <v>738</v>
      </c>
      <c r="KC527" t="s">
        <v>1</v>
      </c>
      <c r="KD527" t="s">
        <v>1</v>
      </c>
      <c r="KE527" t="s">
        <v>1</v>
      </c>
      <c r="KF527" t="s">
        <v>1</v>
      </c>
      <c r="KG527" t="s">
        <v>1</v>
      </c>
      <c r="KH527" t="s">
        <v>1</v>
      </c>
      <c r="KI527" t="s">
        <v>1</v>
      </c>
      <c r="KJ527" t="s">
        <v>1</v>
      </c>
      <c r="KK527" t="s">
        <v>1</v>
      </c>
    </row>
    <row r="528" spans="1:297" x14ac:dyDescent="0.2">
      <c r="A528">
        <v>496</v>
      </c>
      <c r="B528" t="s">
        <v>705</v>
      </c>
      <c r="C528" t="s">
        <v>612</v>
      </c>
      <c r="D528" t="s">
        <v>695</v>
      </c>
      <c r="E528">
        <v>84</v>
      </c>
      <c r="F528" t="s">
        <v>611</v>
      </c>
      <c r="G528" t="s">
        <v>1</v>
      </c>
      <c r="H528" s="26" t="s">
        <v>1420</v>
      </c>
      <c r="I528" t="s">
        <v>1</v>
      </c>
      <c r="J528" t="s">
        <v>1</v>
      </c>
      <c r="K528" t="s">
        <v>1</v>
      </c>
      <c r="L528" t="s">
        <v>1</v>
      </c>
      <c r="M528" t="s">
        <v>1</v>
      </c>
      <c r="N528" t="s">
        <v>1</v>
      </c>
      <c r="O528" t="s">
        <v>1</v>
      </c>
      <c r="P528" t="s">
        <v>1</v>
      </c>
      <c r="Q528" t="s">
        <v>1</v>
      </c>
      <c r="R528" t="s">
        <v>1</v>
      </c>
      <c r="S528" t="s">
        <v>1</v>
      </c>
      <c r="T528" t="s">
        <v>1</v>
      </c>
      <c r="U528" t="s">
        <v>1</v>
      </c>
      <c r="V528" t="s">
        <v>1</v>
      </c>
      <c r="W528" t="s">
        <v>1</v>
      </c>
      <c r="X528" t="s">
        <v>1</v>
      </c>
      <c r="Y528" t="s">
        <v>1</v>
      </c>
      <c r="Z528" t="s">
        <v>1</v>
      </c>
      <c r="AA528" t="s">
        <v>1</v>
      </c>
      <c r="AB528" t="s">
        <v>1</v>
      </c>
      <c r="AC528" t="s">
        <v>1</v>
      </c>
      <c r="AD528" t="s">
        <v>1</v>
      </c>
      <c r="AE528" t="s">
        <v>1</v>
      </c>
      <c r="AF528" t="s">
        <v>1</v>
      </c>
      <c r="AG528" t="s">
        <v>1</v>
      </c>
      <c r="AH528" t="s">
        <v>1</v>
      </c>
      <c r="AI528" t="s">
        <v>1</v>
      </c>
      <c r="AJ528" t="s">
        <v>1</v>
      </c>
      <c r="AK528" t="s">
        <v>1</v>
      </c>
      <c r="AL528" t="s">
        <v>1</v>
      </c>
      <c r="AM528" t="s">
        <v>1</v>
      </c>
      <c r="AN528">
        <v>496</v>
      </c>
      <c r="AO528">
        <f t="shared" si="69"/>
        <v>496</v>
      </c>
      <c r="AP528">
        <f t="shared" si="72"/>
        <v>84</v>
      </c>
      <c r="AQ528">
        <f t="shared" si="71"/>
        <v>84</v>
      </c>
      <c r="AR528" s="26" t="s">
        <v>1355</v>
      </c>
      <c r="AS528" s="26" t="s">
        <v>1356</v>
      </c>
      <c r="AT528" t="s">
        <v>711</v>
      </c>
      <c r="AU528" t="s">
        <v>1</v>
      </c>
      <c r="AV528" t="s">
        <v>1</v>
      </c>
      <c r="AW528">
        <v>41.73</v>
      </c>
      <c r="AX528">
        <v>-0.82</v>
      </c>
      <c r="AY528" t="s">
        <v>737</v>
      </c>
      <c r="BA528" s="3">
        <v>3</v>
      </c>
      <c r="BB528" s="3"/>
      <c r="BC528" s="3"/>
      <c r="BD528" s="3"/>
      <c r="BE528" s="3"/>
      <c r="BF528">
        <v>2004</v>
      </c>
      <c r="BG528" s="24" t="s">
        <v>733</v>
      </c>
      <c r="BH528" s="24" t="s">
        <v>733</v>
      </c>
      <c r="BI528" s="24" t="s">
        <v>733</v>
      </c>
      <c r="BJ528" s="24" t="s">
        <v>732</v>
      </c>
      <c r="BK528" s="24" t="s">
        <v>733</v>
      </c>
      <c r="BL528" s="25" t="s">
        <v>733</v>
      </c>
      <c r="BM528" s="24" t="s">
        <v>733</v>
      </c>
      <c r="BN528" s="24" t="s">
        <v>732</v>
      </c>
      <c r="BO528" s="24" t="s">
        <v>733</v>
      </c>
      <c r="BP528" s="24" t="s">
        <v>733</v>
      </c>
      <c r="BQ528" s="24" t="s">
        <v>945</v>
      </c>
      <c r="BR528" s="24" t="s">
        <v>945</v>
      </c>
      <c r="BS528" s="25" t="s">
        <v>934</v>
      </c>
      <c r="BT528" s="24" t="s">
        <v>934</v>
      </c>
      <c r="BU528" s="24" t="s">
        <v>934</v>
      </c>
      <c r="BV528" s="24" t="s">
        <v>934</v>
      </c>
      <c r="BW528" s="24" t="s">
        <v>934</v>
      </c>
      <c r="BX528" s="24" t="s">
        <v>934</v>
      </c>
      <c r="BY528" s="25" t="s">
        <v>945</v>
      </c>
      <c r="BZ528" t="s">
        <v>5</v>
      </c>
      <c r="CB528" t="s">
        <v>1</v>
      </c>
      <c r="CC528" s="4">
        <f>9.5*1000*0.87</f>
        <v>8265</v>
      </c>
      <c r="CD528" s="4"/>
      <c r="CE528" s="4"/>
      <c r="CF528" t="s">
        <v>793</v>
      </c>
      <c r="CG528">
        <v>100</v>
      </c>
      <c r="CH528" t="s">
        <v>805</v>
      </c>
      <c r="CI528" s="28">
        <v>1</v>
      </c>
      <c r="CJ528" s="10" t="s">
        <v>1442</v>
      </c>
      <c r="CK528" t="s">
        <v>807</v>
      </c>
      <c r="CL528" s="4">
        <f>20.2*1000-8265</f>
        <v>11935</v>
      </c>
      <c r="CM528" t="s">
        <v>847</v>
      </c>
      <c r="CN528" s="4">
        <v>154.9</v>
      </c>
      <c r="CO528" s="4" t="s">
        <v>1</v>
      </c>
      <c r="CP528" s="4" t="s">
        <v>1</v>
      </c>
      <c r="CQ528" s="4" t="s">
        <v>1</v>
      </c>
      <c r="CR528" s="4" t="s">
        <v>1</v>
      </c>
      <c r="CS528" s="4" t="s">
        <v>1</v>
      </c>
      <c r="CT528" s="4" t="s">
        <v>1</v>
      </c>
      <c r="CU528" s="4" t="s">
        <v>1</v>
      </c>
      <c r="CV528" t="s">
        <v>855</v>
      </c>
      <c r="CW528">
        <v>100</v>
      </c>
      <c r="CX528">
        <v>0</v>
      </c>
      <c r="CY528">
        <v>30</v>
      </c>
      <c r="CZ528" s="26" t="s">
        <v>1358</v>
      </c>
      <c r="DA528" t="s">
        <v>734</v>
      </c>
      <c r="DB528">
        <v>52.5</v>
      </c>
      <c r="DC528">
        <v>0</v>
      </c>
      <c r="DD528">
        <v>30</v>
      </c>
      <c r="DE528" s="26" t="s">
        <v>1358</v>
      </c>
      <c r="DF528" t="s">
        <v>735</v>
      </c>
      <c r="DG528">
        <v>34.299999999999997</v>
      </c>
      <c r="DH528">
        <v>0</v>
      </c>
      <c r="DI528">
        <v>30</v>
      </c>
      <c r="DJ528" s="26" t="s">
        <v>1358</v>
      </c>
      <c r="DK528" t="s">
        <v>736</v>
      </c>
      <c r="DL528">
        <v>13.2</v>
      </c>
      <c r="DM528">
        <v>0</v>
      </c>
      <c r="DN528">
        <v>30</v>
      </c>
      <c r="DO528" s="26" t="s">
        <v>1358</v>
      </c>
      <c r="DP528" t="s">
        <v>6</v>
      </c>
      <c r="DQ528" t="s">
        <v>1</v>
      </c>
      <c r="DR528">
        <v>8.4</v>
      </c>
      <c r="DS528">
        <v>0</v>
      </c>
      <c r="DT528">
        <v>30</v>
      </c>
      <c r="DU528" s="26" t="s">
        <v>1358</v>
      </c>
      <c r="EA528" t="s">
        <v>982</v>
      </c>
      <c r="EB528">
        <v>11.100000000000001</v>
      </c>
      <c r="EC528">
        <v>0</v>
      </c>
      <c r="ED528">
        <v>30</v>
      </c>
      <c r="EE528" s="26" t="s">
        <v>1358</v>
      </c>
      <c r="EF528" s="26"/>
      <c r="FZ528" t="s">
        <v>806</v>
      </c>
      <c r="GA528">
        <v>341</v>
      </c>
      <c r="GE528" s="26" t="s">
        <v>1358</v>
      </c>
      <c r="HA528" s="10" t="s">
        <v>1</v>
      </c>
      <c r="HB528" s="3" t="s">
        <v>1</v>
      </c>
      <c r="HC528" t="s">
        <v>1</v>
      </c>
      <c r="HD528" t="s">
        <v>1</v>
      </c>
      <c r="HE528" t="s">
        <v>1</v>
      </c>
      <c r="HF528" s="5" t="s">
        <v>1</v>
      </c>
      <c r="HG528" s="4" t="s">
        <v>1</v>
      </c>
      <c r="HH528" t="s">
        <v>1</v>
      </c>
      <c r="HI528" t="s">
        <v>1</v>
      </c>
      <c r="HJ528" t="s">
        <v>1</v>
      </c>
      <c r="HK528" t="s">
        <v>1</v>
      </c>
      <c r="HL528" t="s">
        <v>1</v>
      </c>
      <c r="HM528" t="s">
        <v>1</v>
      </c>
      <c r="HN528" t="s">
        <v>1</v>
      </c>
      <c r="HO528" t="s">
        <v>1</v>
      </c>
      <c r="HP528" t="s">
        <v>1</v>
      </c>
      <c r="HZ528" t="s">
        <v>1</v>
      </c>
      <c r="IA528" t="s">
        <v>1</v>
      </c>
      <c r="IB528" s="10" t="s">
        <v>1</v>
      </c>
      <c r="IC528" s="10"/>
      <c r="ID528" s="10"/>
      <c r="IE528" s="10" t="s">
        <v>1</v>
      </c>
      <c r="IF528" s="10" t="s">
        <v>1</v>
      </c>
      <c r="IG528" s="10"/>
      <c r="IH528" s="10"/>
      <c r="II528" s="10"/>
      <c r="IJ528" s="10"/>
      <c r="IK528" s="10"/>
      <c r="IL528" s="10"/>
      <c r="IM528" s="10"/>
      <c r="IN528" s="10"/>
      <c r="IO528" s="10"/>
      <c r="IP528" s="10"/>
      <c r="IQ528" s="10"/>
      <c r="IR528" s="10"/>
      <c r="IS528" t="s">
        <v>1</v>
      </c>
      <c r="IT528" t="s">
        <v>1</v>
      </c>
      <c r="IW528" t="s">
        <v>1</v>
      </c>
      <c r="IX528" t="s">
        <v>1</v>
      </c>
      <c r="IY528" t="s">
        <v>808</v>
      </c>
      <c r="IZ528">
        <v>9180</v>
      </c>
      <c r="JA528" t="s">
        <v>1</v>
      </c>
      <c r="JB528" s="3" t="s">
        <v>1</v>
      </c>
      <c r="JC528" t="s">
        <v>965</v>
      </c>
      <c r="JD528" s="3">
        <v>25</v>
      </c>
      <c r="JE528" t="s">
        <v>1</v>
      </c>
      <c r="JF528" t="s">
        <v>1</v>
      </c>
      <c r="JR528" t="s">
        <v>1066</v>
      </c>
      <c r="JS528">
        <v>44.3</v>
      </c>
      <c r="JU528" t="s">
        <v>1</v>
      </c>
      <c r="JW528" t="s">
        <v>842</v>
      </c>
      <c r="JX528">
        <v>0</v>
      </c>
      <c r="JY528">
        <v>120</v>
      </c>
      <c r="JZ528" t="s">
        <v>804</v>
      </c>
      <c r="KA528" t="s">
        <v>501</v>
      </c>
      <c r="KB528" t="s">
        <v>738</v>
      </c>
      <c r="KC528" t="s">
        <v>1</v>
      </c>
      <c r="KD528" t="s">
        <v>1</v>
      </c>
      <c r="KE528" t="s">
        <v>1</v>
      </c>
      <c r="KF528" t="s">
        <v>1</v>
      </c>
      <c r="KG528" t="s">
        <v>1</v>
      </c>
      <c r="KH528" t="s">
        <v>1</v>
      </c>
      <c r="KI528" t="s">
        <v>1</v>
      </c>
      <c r="KJ528" t="s">
        <v>1</v>
      </c>
      <c r="KK528" t="s">
        <v>1</v>
      </c>
    </row>
    <row r="529" spans="1:297" x14ac:dyDescent="0.2">
      <c r="A529">
        <v>497</v>
      </c>
      <c r="B529" t="s">
        <v>705</v>
      </c>
      <c r="C529" t="s">
        <v>613</v>
      </c>
      <c r="D529" t="s">
        <v>695</v>
      </c>
      <c r="E529">
        <v>84</v>
      </c>
      <c r="F529" t="s">
        <v>611</v>
      </c>
      <c r="G529" t="s">
        <v>1</v>
      </c>
      <c r="H529" s="26" t="s">
        <v>1420</v>
      </c>
      <c r="I529" t="s">
        <v>1</v>
      </c>
      <c r="J529" t="s">
        <v>1</v>
      </c>
      <c r="K529" t="s">
        <v>1</v>
      </c>
      <c r="L529" t="s">
        <v>1</v>
      </c>
      <c r="M529" t="s">
        <v>1</v>
      </c>
      <c r="N529" t="s">
        <v>1</v>
      </c>
      <c r="O529" t="s">
        <v>1</v>
      </c>
      <c r="P529" t="s">
        <v>1</v>
      </c>
      <c r="Q529" t="s">
        <v>1</v>
      </c>
      <c r="R529" t="s">
        <v>1</v>
      </c>
      <c r="S529" t="s">
        <v>1</v>
      </c>
      <c r="T529" t="s">
        <v>1</v>
      </c>
      <c r="U529" t="s">
        <v>1</v>
      </c>
      <c r="V529" t="s">
        <v>1</v>
      </c>
      <c r="W529" t="s">
        <v>1</v>
      </c>
      <c r="X529" t="s">
        <v>1</v>
      </c>
      <c r="Y529" t="s">
        <v>1</v>
      </c>
      <c r="Z529" t="s">
        <v>1</v>
      </c>
      <c r="AA529" t="s">
        <v>1</v>
      </c>
      <c r="AB529" t="s">
        <v>1</v>
      </c>
      <c r="AC529" t="s">
        <v>1</v>
      </c>
      <c r="AD529" t="s">
        <v>1</v>
      </c>
      <c r="AE529" t="s">
        <v>1</v>
      </c>
      <c r="AF529" t="s">
        <v>1</v>
      </c>
      <c r="AG529" t="s">
        <v>1</v>
      </c>
      <c r="AH529" t="s">
        <v>1</v>
      </c>
      <c r="AI529" t="s">
        <v>1</v>
      </c>
      <c r="AJ529" t="s">
        <v>1</v>
      </c>
      <c r="AK529" t="s">
        <v>1</v>
      </c>
      <c r="AL529" t="s">
        <v>1</v>
      </c>
      <c r="AM529" t="s">
        <v>1</v>
      </c>
      <c r="AN529">
        <v>497</v>
      </c>
      <c r="AO529">
        <f t="shared" si="69"/>
        <v>497</v>
      </c>
      <c r="AP529">
        <f t="shared" si="72"/>
        <v>84</v>
      </c>
      <c r="AQ529">
        <f t="shared" si="71"/>
        <v>84</v>
      </c>
      <c r="AR529" s="26" t="s">
        <v>1355</v>
      </c>
      <c r="AS529" s="26" t="s">
        <v>1356</v>
      </c>
      <c r="AT529" t="s">
        <v>711</v>
      </c>
      <c r="AU529" t="s">
        <v>1</v>
      </c>
      <c r="AV529" t="s">
        <v>1</v>
      </c>
      <c r="AW529">
        <v>41.73</v>
      </c>
      <c r="AX529">
        <v>-0.82</v>
      </c>
      <c r="AY529" t="s">
        <v>737</v>
      </c>
      <c r="BA529" s="3">
        <v>3</v>
      </c>
      <c r="BB529" s="3"/>
      <c r="BC529" s="3"/>
      <c r="BD529" s="3"/>
      <c r="BE529" s="3"/>
      <c r="BF529">
        <v>2004</v>
      </c>
      <c r="BG529" s="24" t="s">
        <v>733</v>
      </c>
      <c r="BH529" s="24" t="s">
        <v>733</v>
      </c>
      <c r="BI529" s="24" t="s">
        <v>733</v>
      </c>
      <c r="BJ529" s="24" t="s">
        <v>732</v>
      </c>
      <c r="BK529" s="24" t="s">
        <v>733</v>
      </c>
      <c r="BL529" s="25" t="s">
        <v>733</v>
      </c>
      <c r="BM529" s="24" t="s">
        <v>733</v>
      </c>
      <c r="BN529" s="24" t="s">
        <v>732</v>
      </c>
      <c r="BO529" s="24" t="s">
        <v>733</v>
      </c>
      <c r="BP529" s="24" t="s">
        <v>733</v>
      </c>
      <c r="BQ529" s="24" t="s">
        <v>945</v>
      </c>
      <c r="BR529" s="24" t="s">
        <v>945</v>
      </c>
      <c r="BS529" s="25" t="s">
        <v>934</v>
      </c>
      <c r="BT529" s="24" t="s">
        <v>934</v>
      </c>
      <c r="BU529" s="24" t="s">
        <v>934</v>
      </c>
      <c r="BV529" s="24" t="s">
        <v>934</v>
      </c>
      <c r="BW529" s="24" t="s">
        <v>934</v>
      </c>
      <c r="BX529" s="24" t="s">
        <v>934</v>
      </c>
      <c r="BY529" s="25" t="s">
        <v>945</v>
      </c>
      <c r="BZ529" t="s">
        <v>5</v>
      </c>
      <c r="CB529" t="s">
        <v>1</v>
      </c>
      <c r="CC529" s="4">
        <f>14.4*1000*0.87</f>
        <v>12528</v>
      </c>
      <c r="CD529" s="4"/>
      <c r="CE529" s="4"/>
      <c r="CF529" t="s">
        <v>793</v>
      </c>
      <c r="CG529">
        <v>100</v>
      </c>
      <c r="CH529" t="s">
        <v>805</v>
      </c>
      <c r="CI529" s="28">
        <v>1</v>
      </c>
      <c r="CJ529" s="10" t="s">
        <v>1442</v>
      </c>
      <c r="CK529" t="s">
        <v>807</v>
      </c>
      <c r="CL529" s="4">
        <f>27.3*1000-12528</f>
        <v>14772</v>
      </c>
      <c r="CM529" t="s">
        <v>847</v>
      </c>
      <c r="CN529" s="4">
        <v>235.6</v>
      </c>
      <c r="CO529" s="4" t="s">
        <v>1</v>
      </c>
      <c r="CP529" s="4" t="s">
        <v>1</v>
      </c>
      <c r="CQ529" s="4" t="s">
        <v>1</v>
      </c>
      <c r="CR529" s="4" t="s">
        <v>1</v>
      </c>
      <c r="CS529" s="4" t="s">
        <v>1</v>
      </c>
      <c r="CT529" s="4" t="s">
        <v>1</v>
      </c>
      <c r="CU529" s="4" t="s">
        <v>1</v>
      </c>
      <c r="CV529" t="s">
        <v>855</v>
      </c>
      <c r="CW529">
        <v>100</v>
      </c>
      <c r="CX529">
        <v>0</v>
      </c>
      <c r="CY529">
        <v>30</v>
      </c>
      <c r="CZ529" s="26" t="s">
        <v>1358</v>
      </c>
      <c r="DA529" t="s">
        <v>734</v>
      </c>
      <c r="DB529">
        <v>52.5</v>
      </c>
      <c r="DC529">
        <v>0</v>
      </c>
      <c r="DD529">
        <v>30</v>
      </c>
      <c r="DE529" s="26" t="s">
        <v>1358</v>
      </c>
      <c r="DF529" t="s">
        <v>735</v>
      </c>
      <c r="DG529">
        <v>34.299999999999997</v>
      </c>
      <c r="DH529">
        <v>0</v>
      </c>
      <c r="DI529">
        <v>30</v>
      </c>
      <c r="DJ529" s="26" t="s">
        <v>1358</v>
      </c>
      <c r="DK529" t="s">
        <v>736</v>
      </c>
      <c r="DL529">
        <v>13.2</v>
      </c>
      <c r="DM529">
        <v>0</v>
      </c>
      <c r="DN529">
        <v>30</v>
      </c>
      <c r="DO529" s="26" t="s">
        <v>1358</v>
      </c>
      <c r="DP529" t="s">
        <v>6</v>
      </c>
      <c r="DQ529" t="s">
        <v>1</v>
      </c>
      <c r="DR529">
        <v>8.4</v>
      </c>
      <c r="DS529">
        <v>0</v>
      </c>
      <c r="DT529">
        <v>30</v>
      </c>
      <c r="DU529" s="26" t="s">
        <v>1358</v>
      </c>
      <c r="EA529" t="s">
        <v>982</v>
      </c>
      <c r="EB529">
        <v>11.100000000000001</v>
      </c>
      <c r="EC529">
        <v>0</v>
      </c>
      <c r="ED529">
        <v>30</v>
      </c>
      <c r="EE529" s="26" t="s">
        <v>1358</v>
      </c>
      <c r="EF529" s="26"/>
      <c r="FZ529" t="s">
        <v>806</v>
      </c>
      <c r="GA529">
        <v>341</v>
      </c>
      <c r="GE529" s="26" t="s">
        <v>1358</v>
      </c>
      <c r="HA529" s="10" t="s">
        <v>1</v>
      </c>
      <c r="HB529" s="3" t="s">
        <v>1</v>
      </c>
      <c r="HC529" t="s">
        <v>1</v>
      </c>
      <c r="HD529" t="s">
        <v>1</v>
      </c>
      <c r="HE529" t="s">
        <v>1</v>
      </c>
      <c r="HF529" s="5" t="s">
        <v>1</v>
      </c>
      <c r="HG529" s="4" t="s">
        <v>1</v>
      </c>
      <c r="HH529" t="s">
        <v>1</v>
      </c>
      <c r="HI529" t="s">
        <v>1</v>
      </c>
      <c r="HJ529" t="s">
        <v>1</v>
      </c>
      <c r="HK529" t="s">
        <v>1</v>
      </c>
      <c r="HL529" t="s">
        <v>1</v>
      </c>
      <c r="HM529" t="s">
        <v>1</v>
      </c>
      <c r="HN529" t="s">
        <v>1</v>
      </c>
      <c r="HO529" t="s">
        <v>1</v>
      </c>
      <c r="HP529" t="s">
        <v>1</v>
      </c>
      <c r="HZ529" t="s">
        <v>966</v>
      </c>
      <c r="IA529">
        <v>180</v>
      </c>
      <c r="IB529" s="5" t="s">
        <v>1</v>
      </c>
      <c r="IC529" s="5"/>
      <c r="ID529" s="5"/>
      <c r="IE529" s="10" t="s">
        <v>1</v>
      </c>
      <c r="IF529" s="10" t="s">
        <v>1</v>
      </c>
      <c r="IG529" s="10"/>
      <c r="IH529" s="10"/>
      <c r="II529" s="10"/>
      <c r="IJ529" s="10"/>
      <c r="IK529" s="10"/>
      <c r="IL529" s="10"/>
      <c r="IM529" s="10"/>
      <c r="IN529" s="10"/>
      <c r="IO529" s="10"/>
      <c r="IP529" s="10"/>
      <c r="IQ529" s="10"/>
      <c r="IR529" s="10"/>
      <c r="IS529" t="s">
        <v>1</v>
      </c>
      <c r="IT529" t="s">
        <v>1</v>
      </c>
      <c r="IW529" t="s">
        <v>1</v>
      </c>
      <c r="IX529" t="s">
        <v>1</v>
      </c>
      <c r="IY529" t="s">
        <v>808</v>
      </c>
      <c r="IZ529">
        <v>9180</v>
      </c>
      <c r="JA529" t="s">
        <v>1</v>
      </c>
      <c r="JB529" s="3" t="s">
        <v>1</v>
      </c>
      <c r="JC529" t="s">
        <v>965</v>
      </c>
      <c r="JD529" s="3">
        <v>25</v>
      </c>
      <c r="JE529" t="s">
        <v>1</v>
      </c>
      <c r="JF529" t="s">
        <v>1</v>
      </c>
      <c r="JR529" t="s">
        <v>1066</v>
      </c>
      <c r="JS529">
        <v>79.7</v>
      </c>
      <c r="JU529" t="s">
        <v>1</v>
      </c>
      <c r="JW529" t="s">
        <v>842</v>
      </c>
      <c r="JX529">
        <v>0</v>
      </c>
      <c r="JY529">
        <v>120</v>
      </c>
      <c r="JZ529" t="s">
        <v>804</v>
      </c>
      <c r="KA529" t="s">
        <v>501</v>
      </c>
      <c r="KB529" t="s">
        <v>738</v>
      </c>
      <c r="KC529" t="s">
        <v>1</v>
      </c>
      <c r="KD529" t="s">
        <v>1</v>
      </c>
      <c r="KE529" t="s">
        <v>1</v>
      </c>
      <c r="KF529" t="s">
        <v>1</v>
      </c>
      <c r="KG529" t="s">
        <v>1</v>
      </c>
      <c r="KH529" t="s">
        <v>1</v>
      </c>
      <c r="KI529" t="s">
        <v>1</v>
      </c>
      <c r="KJ529" t="s">
        <v>1</v>
      </c>
      <c r="KK529" t="s">
        <v>1</v>
      </c>
    </row>
    <row r="530" spans="1:297" x14ac:dyDescent="0.2">
      <c r="A530">
        <v>498</v>
      </c>
      <c r="B530" t="s">
        <v>705</v>
      </c>
      <c r="C530" t="s">
        <v>614</v>
      </c>
      <c r="D530" t="s">
        <v>695</v>
      </c>
      <c r="E530">
        <v>84</v>
      </c>
      <c r="F530" t="s">
        <v>611</v>
      </c>
      <c r="G530" t="s">
        <v>1</v>
      </c>
      <c r="H530" s="26" t="s">
        <v>1420</v>
      </c>
      <c r="I530" t="s">
        <v>1</v>
      </c>
      <c r="J530" t="s">
        <v>1</v>
      </c>
      <c r="K530" t="s">
        <v>1</v>
      </c>
      <c r="L530" t="s">
        <v>1</v>
      </c>
      <c r="M530" t="s">
        <v>1</v>
      </c>
      <c r="N530" t="s">
        <v>1</v>
      </c>
      <c r="O530" t="s">
        <v>1</v>
      </c>
      <c r="P530" t="s">
        <v>1</v>
      </c>
      <c r="Q530" t="s">
        <v>1</v>
      </c>
      <c r="R530" t="s">
        <v>1</v>
      </c>
      <c r="S530" t="s">
        <v>1</v>
      </c>
      <c r="T530" t="s">
        <v>1</v>
      </c>
      <c r="U530" t="s">
        <v>1</v>
      </c>
      <c r="V530" t="s">
        <v>1</v>
      </c>
      <c r="W530" t="s">
        <v>1</v>
      </c>
      <c r="X530" t="s">
        <v>1</v>
      </c>
      <c r="Y530" t="s">
        <v>1</v>
      </c>
      <c r="Z530" t="s">
        <v>1</v>
      </c>
      <c r="AA530" t="s">
        <v>1</v>
      </c>
      <c r="AB530" t="s">
        <v>1</v>
      </c>
      <c r="AC530" t="s">
        <v>1</v>
      </c>
      <c r="AD530" t="s">
        <v>1</v>
      </c>
      <c r="AE530" t="s">
        <v>1</v>
      </c>
      <c r="AF530" t="s">
        <v>1</v>
      </c>
      <c r="AG530" t="s">
        <v>1</v>
      </c>
      <c r="AH530" t="s">
        <v>1</v>
      </c>
      <c r="AI530" t="s">
        <v>1</v>
      </c>
      <c r="AJ530" t="s">
        <v>1</v>
      </c>
      <c r="AK530" t="s">
        <v>1</v>
      </c>
      <c r="AL530" t="s">
        <v>1</v>
      </c>
      <c r="AM530" t="s">
        <v>1</v>
      </c>
      <c r="AN530">
        <v>498</v>
      </c>
      <c r="AO530">
        <f t="shared" si="69"/>
        <v>498</v>
      </c>
      <c r="AP530">
        <f t="shared" si="72"/>
        <v>84</v>
      </c>
      <c r="AQ530">
        <f t="shared" si="71"/>
        <v>84</v>
      </c>
      <c r="AR530" s="26" t="s">
        <v>1355</v>
      </c>
      <c r="AS530" s="26" t="s">
        <v>1356</v>
      </c>
      <c r="AT530" t="s">
        <v>711</v>
      </c>
      <c r="AU530" t="s">
        <v>1</v>
      </c>
      <c r="AV530" t="s">
        <v>1</v>
      </c>
      <c r="AW530">
        <v>41.73</v>
      </c>
      <c r="AX530">
        <v>-0.82</v>
      </c>
      <c r="AY530" t="s">
        <v>737</v>
      </c>
      <c r="BA530" s="3">
        <v>3</v>
      </c>
      <c r="BB530" s="3"/>
      <c r="BC530" s="3"/>
      <c r="BD530" s="3"/>
      <c r="BE530" s="3"/>
      <c r="BF530">
        <v>2004</v>
      </c>
      <c r="BG530" s="24" t="s">
        <v>733</v>
      </c>
      <c r="BH530" s="24" t="s">
        <v>733</v>
      </c>
      <c r="BI530" s="24" t="s">
        <v>733</v>
      </c>
      <c r="BJ530" s="24" t="s">
        <v>732</v>
      </c>
      <c r="BK530" s="24" t="s">
        <v>733</v>
      </c>
      <c r="BL530" s="25" t="s">
        <v>733</v>
      </c>
      <c r="BM530" s="24" t="s">
        <v>733</v>
      </c>
      <c r="BN530" s="24" t="s">
        <v>732</v>
      </c>
      <c r="BO530" s="24" t="s">
        <v>733</v>
      </c>
      <c r="BP530" s="24" t="s">
        <v>733</v>
      </c>
      <c r="BQ530" s="24" t="s">
        <v>945</v>
      </c>
      <c r="BR530" s="24" t="s">
        <v>945</v>
      </c>
      <c r="BS530" s="25" t="s">
        <v>934</v>
      </c>
      <c r="BT530" s="24" t="s">
        <v>934</v>
      </c>
      <c r="BU530" s="24" t="s">
        <v>934</v>
      </c>
      <c r="BV530" s="24" t="s">
        <v>934</v>
      </c>
      <c r="BW530" s="24" t="s">
        <v>934</v>
      </c>
      <c r="BX530" s="24" t="s">
        <v>934</v>
      </c>
      <c r="BY530" s="25" t="s">
        <v>945</v>
      </c>
      <c r="BZ530" t="s">
        <v>5</v>
      </c>
      <c r="CB530" t="s">
        <v>1</v>
      </c>
      <c r="CC530" s="4">
        <f>16.7*1000*0.87</f>
        <v>14529</v>
      </c>
      <c r="CD530" s="4"/>
      <c r="CE530" s="4"/>
      <c r="CF530" t="s">
        <v>793</v>
      </c>
      <c r="CG530">
        <v>100</v>
      </c>
      <c r="CH530" t="s">
        <v>805</v>
      </c>
      <c r="CI530" s="28">
        <v>1</v>
      </c>
      <c r="CJ530" s="10" t="s">
        <v>1442</v>
      </c>
      <c r="CK530" t="s">
        <v>807</v>
      </c>
      <c r="CL530" s="4">
        <f>31.6*1000-14529</f>
        <v>17071</v>
      </c>
      <c r="CM530" t="s">
        <v>847</v>
      </c>
      <c r="CN530" s="4">
        <v>335.1</v>
      </c>
      <c r="CO530" s="4" t="s">
        <v>1</v>
      </c>
      <c r="CP530" s="4" t="s">
        <v>1</v>
      </c>
      <c r="CQ530" s="4" t="s">
        <v>1</v>
      </c>
      <c r="CR530" s="4" t="s">
        <v>1</v>
      </c>
      <c r="CS530" s="4" t="s">
        <v>1</v>
      </c>
      <c r="CT530" s="4" t="s">
        <v>1</v>
      </c>
      <c r="CU530" s="4" t="s">
        <v>1</v>
      </c>
      <c r="CV530" t="s">
        <v>855</v>
      </c>
      <c r="CW530">
        <v>100</v>
      </c>
      <c r="CX530">
        <v>0</v>
      </c>
      <c r="CY530">
        <v>30</v>
      </c>
      <c r="CZ530" s="26" t="s">
        <v>1358</v>
      </c>
      <c r="DA530" t="s">
        <v>734</v>
      </c>
      <c r="DB530">
        <v>52.5</v>
      </c>
      <c r="DC530">
        <v>0</v>
      </c>
      <c r="DD530">
        <v>30</v>
      </c>
      <c r="DE530" s="26" t="s">
        <v>1358</v>
      </c>
      <c r="DF530" t="s">
        <v>735</v>
      </c>
      <c r="DG530">
        <v>34.299999999999997</v>
      </c>
      <c r="DH530">
        <v>0</v>
      </c>
      <c r="DI530">
        <v>30</v>
      </c>
      <c r="DJ530" s="26" t="s">
        <v>1358</v>
      </c>
      <c r="DK530" t="s">
        <v>736</v>
      </c>
      <c r="DL530">
        <v>13.2</v>
      </c>
      <c r="DM530">
        <v>0</v>
      </c>
      <c r="DN530">
        <v>30</v>
      </c>
      <c r="DO530" s="26" t="s">
        <v>1358</v>
      </c>
      <c r="DP530" t="s">
        <v>6</v>
      </c>
      <c r="DQ530" t="s">
        <v>1</v>
      </c>
      <c r="DR530">
        <v>8.4</v>
      </c>
      <c r="DS530">
        <v>0</v>
      </c>
      <c r="DT530">
        <v>30</v>
      </c>
      <c r="DU530" s="26" t="s">
        <v>1358</v>
      </c>
      <c r="EA530" t="s">
        <v>982</v>
      </c>
      <c r="EB530">
        <v>11.100000000000001</v>
      </c>
      <c r="EC530">
        <v>0</v>
      </c>
      <c r="ED530">
        <v>30</v>
      </c>
      <c r="EE530" s="26" t="s">
        <v>1358</v>
      </c>
      <c r="EF530" s="26"/>
      <c r="FZ530" t="s">
        <v>806</v>
      </c>
      <c r="GA530">
        <v>341</v>
      </c>
      <c r="GE530" s="26" t="s">
        <v>1358</v>
      </c>
      <c r="HA530" s="10" t="s">
        <v>1</v>
      </c>
      <c r="HB530" s="3" t="s">
        <v>1</v>
      </c>
      <c r="HC530" t="s">
        <v>1</v>
      </c>
      <c r="HD530" t="s">
        <v>1</v>
      </c>
      <c r="HE530" t="s">
        <v>1</v>
      </c>
      <c r="HF530" s="5" t="s">
        <v>1</v>
      </c>
      <c r="HG530" s="4" t="s">
        <v>1</v>
      </c>
      <c r="HH530" t="s">
        <v>1</v>
      </c>
      <c r="HI530" t="s">
        <v>1</v>
      </c>
      <c r="HJ530" t="s">
        <v>1</v>
      </c>
      <c r="HK530" t="s">
        <v>1</v>
      </c>
      <c r="HL530" t="s">
        <v>1</v>
      </c>
      <c r="HM530" t="s">
        <v>1</v>
      </c>
      <c r="HN530" t="s">
        <v>1</v>
      </c>
      <c r="HO530" t="s">
        <v>1</v>
      </c>
      <c r="HP530" t="s">
        <v>1</v>
      </c>
      <c r="HZ530" t="s">
        <v>966</v>
      </c>
      <c r="IA530">
        <v>240</v>
      </c>
      <c r="IB530" s="5" t="s">
        <v>1</v>
      </c>
      <c r="IC530" s="5"/>
      <c r="ID530" s="5"/>
      <c r="IE530" s="10" t="s">
        <v>1</v>
      </c>
      <c r="IF530" s="10" t="s">
        <v>1</v>
      </c>
      <c r="IG530" s="10"/>
      <c r="IH530" s="10"/>
      <c r="II530" s="10"/>
      <c r="IJ530" s="10"/>
      <c r="IK530" s="10"/>
      <c r="IL530" s="10"/>
      <c r="IM530" s="10"/>
      <c r="IN530" s="10"/>
      <c r="IO530" s="10"/>
      <c r="IP530" s="10"/>
      <c r="IQ530" s="10"/>
      <c r="IR530" s="10"/>
      <c r="IS530" t="s">
        <v>1</v>
      </c>
      <c r="IT530" t="s">
        <v>1</v>
      </c>
      <c r="IW530" t="s">
        <v>1</v>
      </c>
      <c r="IX530" t="s">
        <v>1</v>
      </c>
      <c r="IY530" t="s">
        <v>808</v>
      </c>
      <c r="IZ530">
        <v>9180</v>
      </c>
      <c r="JA530" t="s">
        <v>1</v>
      </c>
      <c r="JB530" s="3" t="s">
        <v>1</v>
      </c>
      <c r="JC530" t="s">
        <v>965</v>
      </c>
      <c r="JD530" s="3">
        <v>25</v>
      </c>
      <c r="JE530" t="s">
        <v>1</v>
      </c>
      <c r="JF530" t="s">
        <v>1</v>
      </c>
      <c r="JR530" t="s">
        <v>1066</v>
      </c>
      <c r="JS530">
        <v>181.5</v>
      </c>
      <c r="JU530" t="s">
        <v>1</v>
      </c>
      <c r="JW530" t="s">
        <v>842</v>
      </c>
      <c r="JX530">
        <v>0</v>
      </c>
      <c r="JY530">
        <v>120</v>
      </c>
      <c r="JZ530" t="s">
        <v>804</v>
      </c>
      <c r="KA530" t="s">
        <v>501</v>
      </c>
      <c r="KB530" t="s">
        <v>738</v>
      </c>
      <c r="KC530" t="s">
        <v>1</v>
      </c>
      <c r="KD530" t="s">
        <v>1</v>
      </c>
      <c r="KE530" t="s">
        <v>1</v>
      </c>
      <c r="KF530" t="s">
        <v>1</v>
      </c>
      <c r="KG530" t="s">
        <v>1</v>
      </c>
      <c r="KH530" t="s">
        <v>1</v>
      </c>
      <c r="KI530" t="s">
        <v>1</v>
      </c>
      <c r="KJ530" t="s">
        <v>1</v>
      </c>
      <c r="KK530" t="s">
        <v>1</v>
      </c>
    </row>
    <row r="531" spans="1:297" x14ac:dyDescent="0.2">
      <c r="A531">
        <v>499</v>
      </c>
      <c r="B531" t="s">
        <v>705</v>
      </c>
      <c r="C531" t="s">
        <v>615</v>
      </c>
      <c r="D531" t="s">
        <v>695</v>
      </c>
      <c r="E531">
        <v>84</v>
      </c>
      <c r="F531" t="s">
        <v>611</v>
      </c>
      <c r="G531" t="s">
        <v>1</v>
      </c>
      <c r="H531" s="26" t="s">
        <v>1420</v>
      </c>
      <c r="I531" t="s">
        <v>1</v>
      </c>
      <c r="J531" t="s">
        <v>1</v>
      </c>
      <c r="K531" t="s">
        <v>1</v>
      </c>
      <c r="L531" t="s">
        <v>1</v>
      </c>
      <c r="M531" t="s">
        <v>1</v>
      </c>
      <c r="N531" t="s">
        <v>1</v>
      </c>
      <c r="O531" t="s">
        <v>1</v>
      </c>
      <c r="P531" t="s">
        <v>1</v>
      </c>
      <c r="Q531" t="s">
        <v>1</v>
      </c>
      <c r="R531" t="s">
        <v>1</v>
      </c>
      <c r="S531" t="s">
        <v>1</v>
      </c>
      <c r="T531" t="s">
        <v>1</v>
      </c>
      <c r="U531" t="s">
        <v>1</v>
      </c>
      <c r="V531" t="s">
        <v>1</v>
      </c>
      <c r="W531" t="s">
        <v>1</v>
      </c>
      <c r="X531" t="s">
        <v>1</v>
      </c>
      <c r="Y531" t="s">
        <v>1</v>
      </c>
      <c r="Z531" t="s">
        <v>1</v>
      </c>
      <c r="AA531" t="s">
        <v>1</v>
      </c>
      <c r="AB531" t="s">
        <v>1</v>
      </c>
      <c r="AC531" t="s">
        <v>1</v>
      </c>
      <c r="AD531" t="s">
        <v>1</v>
      </c>
      <c r="AE531" t="s">
        <v>1</v>
      </c>
      <c r="AF531" t="s">
        <v>1</v>
      </c>
      <c r="AG531" t="s">
        <v>1</v>
      </c>
      <c r="AH531" t="s">
        <v>1</v>
      </c>
      <c r="AI531" t="s">
        <v>1</v>
      </c>
      <c r="AJ531" t="s">
        <v>1</v>
      </c>
      <c r="AK531" t="s">
        <v>1</v>
      </c>
      <c r="AL531" t="s">
        <v>1</v>
      </c>
      <c r="AM531" t="s">
        <v>1</v>
      </c>
      <c r="AN531">
        <v>499</v>
      </c>
      <c r="AO531">
        <f t="shared" si="69"/>
        <v>499</v>
      </c>
      <c r="AP531">
        <f t="shared" si="72"/>
        <v>84</v>
      </c>
      <c r="AQ531">
        <f t="shared" si="71"/>
        <v>84</v>
      </c>
      <c r="AR531" s="26" t="s">
        <v>1355</v>
      </c>
      <c r="AS531" s="26" t="s">
        <v>1356</v>
      </c>
      <c r="AT531" t="s">
        <v>711</v>
      </c>
      <c r="AU531" t="s">
        <v>1</v>
      </c>
      <c r="AV531" t="s">
        <v>1</v>
      </c>
      <c r="AW531">
        <v>41.73</v>
      </c>
      <c r="AX531">
        <v>-0.82</v>
      </c>
      <c r="AY531" t="s">
        <v>737</v>
      </c>
      <c r="BA531" s="3">
        <v>3</v>
      </c>
      <c r="BB531" s="3"/>
      <c r="BC531" s="3"/>
      <c r="BD531" s="3"/>
      <c r="BE531" s="3"/>
      <c r="BF531">
        <v>2004</v>
      </c>
      <c r="BG531" s="24" t="s">
        <v>733</v>
      </c>
      <c r="BH531" s="24" t="s">
        <v>733</v>
      </c>
      <c r="BI531" s="24" t="s">
        <v>733</v>
      </c>
      <c r="BJ531" s="24" t="s">
        <v>732</v>
      </c>
      <c r="BK531" s="24" t="s">
        <v>733</v>
      </c>
      <c r="BL531" s="25" t="s">
        <v>733</v>
      </c>
      <c r="BM531" s="24" t="s">
        <v>733</v>
      </c>
      <c r="BN531" s="24" t="s">
        <v>732</v>
      </c>
      <c r="BO531" s="24" t="s">
        <v>733</v>
      </c>
      <c r="BP531" s="24" t="s">
        <v>733</v>
      </c>
      <c r="BQ531" s="24" t="s">
        <v>945</v>
      </c>
      <c r="BR531" s="24" t="s">
        <v>945</v>
      </c>
      <c r="BS531" s="25" t="s">
        <v>934</v>
      </c>
      <c r="BT531" s="24" t="s">
        <v>934</v>
      </c>
      <c r="BU531" s="24" t="s">
        <v>934</v>
      </c>
      <c r="BV531" s="24" t="s">
        <v>934</v>
      </c>
      <c r="BW531" s="24" t="s">
        <v>934</v>
      </c>
      <c r="BX531" s="24" t="s">
        <v>934</v>
      </c>
      <c r="BY531" s="25" t="s">
        <v>945</v>
      </c>
      <c r="BZ531" t="s">
        <v>5</v>
      </c>
      <c r="CB531" t="s">
        <v>1</v>
      </c>
      <c r="CC531" s="4">
        <f>17.5*1000*0.87</f>
        <v>15225</v>
      </c>
      <c r="CD531" s="4"/>
      <c r="CE531" s="4"/>
      <c r="CF531" t="s">
        <v>793</v>
      </c>
      <c r="CG531">
        <v>100</v>
      </c>
      <c r="CH531" t="s">
        <v>805</v>
      </c>
      <c r="CI531" s="28">
        <v>1</v>
      </c>
      <c r="CJ531" s="10" t="s">
        <v>1442</v>
      </c>
      <c r="CK531" t="s">
        <v>807</v>
      </c>
      <c r="CL531" s="4">
        <f>31.3*1000-15225</f>
        <v>16075</v>
      </c>
      <c r="CM531" t="s">
        <v>847</v>
      </c>
      <c r="CN531" s="4">
        <v>333</v>
      </c>
      <c r="CO531" s="4" t="s">
        <v>1</v>
      </c>
      <c r="CP531" s="4" t="s">
        <v>1</v>
      </c>
      <c r="CQ531" s="4" t="s">
        <v>1</v>
      </c>
      <c r="CR531" s="4" t="s">
        <v>1</v>
      </c>
      <c r="CS531" s="4" t="s">
        <v>1</v>
      </c>
      <c r="CT531" s="4" t="s">
        <v>1</v>
      </c>
      <c r="CU531" s="4" t="s">
        <v>1</v>
      </c>
      <c r="CV531" t="s">
        <v>855</v>
      </c>
      <c r="CW531">
        <v>100</v>
      </c>
      <c r="CX531">
        <v>0</v>
      </c>
      <c r="CY531">
        <v>30</v>
      </c>
      <c r="CZ531" s="26" t="s">
        <v>1358</v>
      </c>
      <c r="DA531" t="s">
        <v>734</v>
      </c>
      <c r="DB531">
        <v>52.5</v>
      </c>
      <c r="DC531">
        <v>0</v>
      </c>
      <c r="DD531">
        <v>30</v>
      </c>
      <c r="DE531" s="26" t="s">
        <v>1358</v>
      </c>
      <c r="DF531" t="s">
        <v>735</v>
      </c>
      <c r="DG531">
        <v>34.299999999999997</v>
      </c>
      <c r="DH531">
        <v>0</v>
      </c>
      <c r="DI531">
        <v>30</v>
      </c>
      <c r="DJ531" s="26" t="s">
        <v>1358</v>
      </c>
      <c r="DK531" t="s">
        <v>736</v>
      </c>
      <c r="DL531">
        <v>13.2</v>
      </c>
      <c r="DM531">
        <v>0</v>
      </c>
      <c r="DN531">
        <v>30</v>
      </c>
      <c r="DO531" s="26" t="s">
        <v>1358</v>
      </c>
      <c r="DP531" t="s">
        <v>6</v>
      </c>
      <c r="DQ531" t="s">
        <v>1</v>
      </c>
      <c r="DR531">
        <v>8.4</v>
      </c>
      <c r="DS531">
        <v>0</v>
      </c>
      <c r="DT531">
        <v>30</v>
      </c>
      <c r="DU531" s="26" t="s">
        <v>1358</v>
      </c>
      <c r="EA531" t="s">
        <v>982</v>
      </c>
      <c r="EB531">
        <v>11.100000000000001</v>
      </c>
      <c r="EC531">
        <v>0</v>
      </c>
      <c r="ED531">
        <v>30</v>
      </c>
      <c r="EE531" s="26" t="s">
        <v>1358</v>
      </c>
      <c r="EF531" s="26"/>
      <c r="FZ531" t="s">
        <v>806</v>
      </c>
      <c r="GA531">
        <v>341</v>
      </c>
      <c r="GE531" s="26" t="s">
        <v>1358</v>
      </c>
      <c r="HA531" s="10" t="s">
        <v>1</v>
      </c>
      <c r="HB531" s="3" t="s">
        <v>1</v>
      </c>
      <c r="HC531" t="s">
        <v>1</v>
      </c>
      <c r="HD531" t="s">
        <v>1</v>
      </c>
      <c r="HE531" t="s">
        <v>1</v>
      </c>
      <c r="HF531" s="5" t="s">
        <v>1</v>
      </c>
      <c r="HG531" s="4" t="s">
        <v>1</v>
      </c>
      <c r="HH531" t="s">
        <v>1</v>
      </c>
      <c r="HI531" t="s">
        <v>1</v>
      </c>
      <c r="HJ531" t="s">
        <v>1</v>
      </c>
      <c r="HK531" t="s">
        <v>1</v>
      </c>
      <c r="HL531" t="s">
        <v>1</v>
      </c>
      <c r="HM531" t="s">
        <v>1</v>
      </c>
      <c r="HN531" t="s">
        <v>1</v>
      </c>
      <c r="HO531" t="s">
        <v>1</v>
      </c>
      <c r="HP531" t="s">
        <v>1</v>
      </c>
      <c r="HZ531" t="s">
        <v>966</v>
      </c>
      <c r="IA531">
        <v>300</v>
      </c>
      <c r="IB531" s="5" t="s">
        <v>1</v>
      </c>
      <c r="IC531" s="5"/>
      <c r="ID531" s="5"/>
      <c r="IE531" s="10" t="s">
        <v>1</v>
      </c>
      <c r="IF531" s="10" t="s">
        <v>1</v>
      </c>
      <c r="IG531" s="10"/>
      <c r="IH531" s="10"/>
      <c r="II531" s="10"/>
      <c r="IJ531" s="10"/>
      <c r="IK531" s="10"/>
      <c r="IL531" s="10"/>
      <c r="IM531" s="10"/>
      <c r="IN531" s="10"/>
      <c r="IO531" s="10"/>
      <c r="IP531" s="10"/>
      <c r="IQ531" s="10"/>
      <c r="IR531" s="10"/>
      <c r="IS531" t="s">
        <v>1</v>
      </c>
      <c r="IT531" t="s">
        <v>1</v>
      </c>
      <c r="IW531" t="s">
        <v>1</v>
      </c>
      <c r="IX531" t="s">
        <v>1</v>
      </c>
      <c r="IY531" t="s">
        <v>808</v>
      </c>
      <c r="IZ531">
        <v>9180</v>
      </c>
      <c r="JA531" t="s">
        <v>1</v>
      </c>
      <c r="JB531" s="3" t="s">
        <v>1</v>
      </c>
      <c r="JC531" t="s">
        <v>965</v>
      </c>
      <c r="JD531" s="3">
        <v>25</v>
      </c>
      <c r="JE531" t="s">
        <v>1</v>
      </c>
      <c r="JF531" t="s">
        <v>1</v>
      </c>
      <c r="JR531" t="s">
        <v>1066</v>
      </c>
      <c r="JS531">
        <v>239</v>
      </c>
      <c r="JU531" t="s">
        <v>1</v>
      </c>
      <c r="JW531" t="s">
        <v>842</v>
      </c>
      <c r="JX531">
        <v>0</v>
      </c>
      <c r="JY531">
        <v>120</v>
      </c>
      <c r="JZ531" t="s">
        <v>804</v>
      </c>
      <c r="KA531" t="s">
        <v>501</v>
      </c>
      <c r="KB531" t="s">
        <v>738</v>
      </c>
      <c r="KC531" t="s">
        <v>1</v>
      </c>
      <c r="KD531" t="s">
        <v>1</v>
      </c>
      <c r="KE531" t="s">
        <v>1</v>
      </c>
      <c r="KF531" t="s">
        <v>1</v>
      </c>
      <c r="KG531" t="s">
        <v>1</v>
      </c>
      <c r="KH531" t="s">
        <v>1</v>
      </c>
      <c r="KI531" t="s">
        <v>1</v>
      </c>
      <c r="KJ531" t="s">
        <v>1</v>
      </c>
      <c r="KK531" t="s">
        <v>1</v>
      </c>
    </row>
    <row r="532" spans="1:297" x14ac:dyDescent="0.2">
      <c r="A532">
        <v>500</v>
      </c>
      <c r="B532" t="s">
        <v>705</v>
      </c>
      <c r="C532" t="s">
        <v>618</v>
      </c>
      <c r="D532" t="s">
        <v>616</v>
      </c>
      <c r="E532">
        <v>85</v>
      </c>
      <c r="F532" t="s">
        <v>617</v>
      </c>
      <c r="G532" t="s">
        <v>1</v>
      </c>
      <c r="H532" s="26" t="s">
        <v>1420</v>
      </c>
      <c r="I532" t="s">
        <v>1</v>
      </c>
      <c r="J532" t="s">
        <v>1</v>
      </c>
      <c r="K532" t="s">
        <v>1</v>
      </c>
      <c r="L532" t="s">
        <v>1</v>
      </c>
      <c r="M532" t="s">
        <v>1</v>
      </c>
      <c r="N532" t="s">
        <v>1</v>
      </c>
      <c r="O532" t="s">
        <v>1</v>
      </c>
      <c r="P532" t="s">
        <v>1</v>
      </c>
      <c r="Q532" t="s">
        <v>1</v>
      </c>
      <c r="R532" t="s">
        <v>1</v>
      </c>
      <c r="S532" t="s">
        <v>1</v>
      </c>
      <c r="T532" t="s">
        <v>1</v>
      </c>
      <c r="U532" t="s">
        <v>1</v>
      </c>
      <c r="V532" t="s">
        <v>1</v>
      </c>
      <c r="W532" t="s">
        <v>1</v>
      </c>
      <c r="X532" t="s">
        <v>1</v>
      </c>
      <c r="Y532" t="s">
        <v>1</v>
      </c>
      <c r="Z532" t="s">
        <v>1</v>
      </c>
      <c r="AA532" t="s">
        <v>1</v>
      </c>
      <c r="AB532" t="s">
        <v>1</v>
      </c>
      <c r="AC532" t="s">
        <v>1</v>
      </c>
      <c r="AD532" t="s">
        <v>1</v>
      </c>
      <c r="AE532" t="s">
        <v>1</v>
      </c>
      <c r="AF532" t="s">
        <v>1</v>
      </c>
      <c r="AG532" t="s">
        <v>1</v>
      </c>
      <c r="AH532" t="s">
        <v>1</v>
      </c>
      <c r="AI532" t="s">
        <v>1</v>
      </c>
      <c r="AJ532" t="s">
        <v>1</v>
      </c>
      <c r="AK532" t="s">
        <v>1</v>
      </c>
      <c r="AL532" t="s">
        <v>1</v>
      </c>
      <c r="AM532" t="s">
        <v>1</v>
      </c>
      <c r="AN532">
        <v>500</v>
      </c>
      <c r="AO532">
        <f t="shared" si="69"/>
        <v>500</v>
      </c>
      <c r="AP532">
        <f t="shared" si="72"/>
        <v>85</v>
      </c>
      <c r="AQ532">
        <f t="shared" si="71"/>
        <v>85</v>
      </c>
      <c r="AR532" s="26" t="s">
        <v>1355</v>
      </c>
      <c r="AS532" s="26" t="s">
        <v>1356</v>
      </c>
      <c r="AT532" t="s">
        <v>723</v>
      </c>
      <c r="AU532" t="s">
        <v>1</v>
      </c>
      <c r="AV532" t="s">
        <v>1</v>
      </c>
      <c r="AW532">
        <v>35.68</v>
      </c>
      <c r="AX532">
        <v>51.32</v>
      </c>
      <c r="AY532" t="s">
        <v>737</v>
      </c>
      <c r="BA532" s="3">
        <v>8</v>
      </c>
      <c r="BB532" s="3"/>
      <c r="BC532" s="3"/>
      <c r="BD532" s="3"/>
      <c r="BE532" s="3"/>
      <c r="BF532">
        <v>2012</v>
      </c>
      <c r="BG532" s="24" t="s">
        <v>733</v>
      </c>
      <c r="BH532" s="24" t="s">
        <v>733</v>
      </c>
      <c r="BI532" s="24" t="s">
        <v>733</v>
      </c>
      <c r="BJ532" s="24" t="s">
        <v>732</v>
      </c>
      <c r="BK532" s="24" t="s">
        <v>733</v>
      </c>
      <c r="BL532" s="25" t="s">
        <v>733</v>
      </c>
      <c r="BM532" s="24" t="s">
        <v>733</v>
      </c>
      <c r="BN532" s="24" t="s">
        <v>732</v>
      </c>
      <c r="BO532" s="24" t="s">
        <v>733</v>
      </c>
      <c r="BP532" s="24" t="s">
        <v>733</v>
      </c>
      <c r="BQ532" s="24" t="s">
        <v>945</v>
      </c>
      <c r="BR532" s="24" t="s">
        <v>945</v>
      </c>
      <c r="BS532" s="25" t="s">
        <v>934</v>
      </c>
      <c r="BT532" s="24" t="s">
        <v>934</v>
      </c>
      <c r="BU532" s="24" t="s">
        <v>934</v>
      </c>
      <c r="BV532" s="24" t="s">
        <v>934</v>
      </c>
      <c r="BW532" s="24" t="s">
        <v>934</v>
      </c>
      <c r="BX532" s="24" t="s">
        <v>934</v>
      </c>
      <c r="BY532" s="25" t="s">
        <v>945</v>
      </c>
      <c r="BZ532" t="s">
        <v>5</v>
      </c>
      <c r="CB532" t="s">
        <v>1</v>
      </c>
      <c r="CC532" s="4">
        <f>AVERAGE(1724,1666)*90%</f>
        <v>1525.5</v>
      </c>
      <c r="CD532" s="4"/>
      <c r="CE532" s="4"/>
      <c r="CF532" t="s">
        <v>793</v>
      </c>
      <c r="CG532">
        <v>100</v>
      </c>
      <c r="CH532" t="s">
        <v>805</v>
      </c>
      <c r="CI532" s="28">
        <v>1</v>
      </c>
      <c r="CJ532" s="10" t="s">
        <v>1442</v>
      </c>
      <c r="CK532" t="s">
        <v>807</v>
      </c>
      <c r="CL532" s="4">
        <f>AVERAGE(6157,5306)-1525.5</f>
        <v>4206</v>
      </c>
      <c r="CM532" t="s">
        <v>847</v>
      </c>
      <c r="CN532" s="17">
        <v>38.859230499999995</v>
      </c>
      <c r="CO532" s="4" t="s">
        <v>1</v>
      </c>
      <c r="CP532" s="4" t="s">
        <v>1</v>
      </c>
      <c r="CQ532" s="4" t="s">
        <v>1</v>
      </c>
      <c r="CR532" s="4" t="s">
        <v>1</v>
      </c>
      <c r="CS532" s="4" t="s">
        <v>1</v>
      </c>
      <c r="CT532" s="4" t="s">
        <v>1</v>
      </c>
      <c r="CU532" s="4" t="s">
        <v>1</v>
      </c>
      <c r="CV532" t="s">
        <v>855</v>
      </c>
      <c r="CW532">
        <v>100</v>
      </c>
      <c r="CX532">
        <v>0</v>
      </c>
      <c r="CY532">
        <v>30</v>
      </c>
      <c r="CZ532" s="26" t="s">
        <v>1358</v>
      </c>
      <c r="DA532" t="s">
        <v>734</v>
      </c>
      <c r="DB532">
        <v>62</v>
      </c>
      <c r="DC532">
        <v>0</v>
      </c>
      <c r="DD532">
        <v>30</v>
      </c>
      <c r="DE532" s="26" t="s">
        <v>1358</v>
      </c>
      <c r="DF532" t="s">
        <v>735</v>
      </c>
      <c r="DG532">
        <v>18.5</v>
      </c>
      <c r="DH532">
        <v>0</v>
      </c>
      <c r="DI532">
        <v>30</v>
      </c>
      <c r="DJ532" s="26" t="s">
        <v>1358</v>
      </c>
      <c r="DK532" t="s">
        <v>736</v>
      </c>
      <c r="DL532">
        <v>19.5</v>
      </c>
      <c r="DM532">
        <v>0</v>
      </c>
      <c r="DN532">
        <v>30</v>
      </c>
      <c r="DO532" s="26" t="s">
        <v>1358</v>
      </c>
      <c r="DP532" t="s">
        <v>6</v>
      </c>
      <c r="DQ532" t="s">
        <v>1</v>
      </c>
      <c r="DR532">
        <v>7</v>
      </c>
      <c r="DS532">
        <v>0</v>
      </c>
      <c r="DT532">
        <v>30</v>
      </c>
      <c r="DU532" s="26" t="s">
        <v>1358</v>
      </c>
      <c r="EA532" t="s">
        <v>982</v>
      </c>
      <c r="EB532">
        <v>2.9</v>
      </c>
      <c r="EC532">
        <v>0</v>
      </c>
      <c r="ED532">
        <v>30</v>
      </c>
      <c r="EE532" s="26" t="s">
        <v>1358</v>
      </c>
      <c r="EF532" s="26"/>
      <c r="FZ532" t="s">
        <v>806</v>
      </c>
      <c r="GA532">
        <v>7.8</v>
      </c>
      <c r="GE532" s="26" t="s">
        <v>1358</v>
      </c>
      <c r="HA532" s="5" t="s">
        <v>1069</v>
      </c>
      <c r="HB532" s="4">
        <v>6.15</v>
      </c>
      <c r="HC532">
        <v>0</v>
      </c>
      <c r="HD532">
        <v>30</v>
      </c>
      <c r="HE532" s="26" t="s">
        <v>1358</v>
      </c>
      <c r="HF532" s="5" t="s">
        <v>1</v>
      </c>
      <c r="HG532" s="4" t="s">
        <v>1</v>
      </c>
      <c r="HH532" t="s">
        <v>1</v>
      </c>
      <c r="HI532" t="s">
        <v>1</v>
      </c>
      <c r="HJ532" t="s">
        <v>1</v>
      </c>
      <c r="HK532" t="s">
        <v>815</v>
      </c>
      <c r="HL532">
        <v>1.4449999999999998</v>
      </c>
      <c r="HM532">
        <v>0</v>
      </c>
      <c r="HN532">
        <v>30</v>
      </c>
      <c r="HO532" t="s">
        <v>1</v>
      </c>
      <c r="HP532" s="26" t="s">
        <v>1358</v>
      </c>
      <c r="HZ532" t="s">
        <v>1</v>
      </c>
      <c r="IA532" t="s">
        <v>1</v>
      </c>
      <c r="IB532" s="10" t="s">
        <v>1</v>
      </c>
      <c r="IC532" s="10"/>
      <c r="ID532" s="10"/>
      <c r="IE532" s="10" t="s">
        <v>1</v>
      </c>
      <c r="IF532" s="10" t="s">
        <v>1</v>
      </c>
      <c r="IG532" s="10"/>
      <c r="IH532" s="10"/>
      <c r="II532" s="10"/>
      <c r="IJ532" s="10"/>
      <c r="IK532" s="10"/>
      <c r="IL532" s="10"/>
      <c r="IM532" s="10"/>
      <c r="IN532" s="10"/>
      <c r="IO532" s="10"/>
      <c r="IP532" s="10"/>
      <c r="IQ532" s="10"/>
      <c r="IR532" s="10"/>
      <c r="IS532" t="s">
        <v>1</v>
      </c>
      <c r="IT532" t="s">
        <v>1</v>
      </c>
      <c r="IW532" t="s">
        <v>1</v>
      </c>
      <c r="IX532" t="s">
        <v>1</v>
      </c>
      <c r="IY532" t="s">
        <v>808</v>
      </c>
      <c r="IZ532">
        <v>5335</v>
      </c>
      <c r="JA532" t="s">
        <v>1</v>
      </c>
      <c r="JB532" s="3" t="s">
        <v>1</v>
      </c>
      <c r="JC532" t="s">
        <v>1</v>
      </c>
      <c r="JD532" s="4" t="s">
        <v>1</v>
      </c>
      <c r="JE532" t="s">
        <v>810</v>
      </c>
      <c r="JF532">
        <v>100</v>
      </c>
      <c r="JR532" t="s">
        <v>1066</v>
      </c>
      <c r="JS532">
        <v>34.299999999999997</v>
      </c>
      <c r="JU532" t="s">
        <v>1</v>
      </c>
      <c r="JW532" t="s">
        <v>1</v>
      </c>
      <c r="JX532">
        <v>0</v>
      </c>
      <c r="JY532">
        <v>80</v>
      </c>
      <c r="JZ532" t="s">
        <v>800</v>
      </c>
      <c r="KA532" t="s">
        <v>432</v>
      </c>
      <c r="KB532" t="s">
        <v>738</v>
      </c>
      <c r="KC532" t="s">
        <v>1</v>
      </c>
      <c r="KD532" t="s">
        <v>1</v>
      </c>
      <c r="KE532" t="s">
        <v>1</v>
      </c>
      <c r="KF532" t="s">
        <v>1</v>
      </c>
      <c r="KG532" t="s">
        <v>1</v>
      </c>
      <c r="KH532" t="s">
        <v>1</v>
      </c>
      <c r="KI532" t="s">
        <v>1</v>
      </c>
      <c r="KJ532" t="s">
        <v>1</v>
      </c>
      <c r="KK532" t="s">
        <v>1</v>
      </c>
    </row>
    <row r="533" spans="1:297" x14ac:dyDescent="0.2">
      <c r="A533">
        <v>501</v>
      </c>
      <c r="B533" t="s">
        <v>705</v>
      </c>
      <c r="C533" t="s">
        <v>619</v>
      </c>
      <c r="D533" t="s">
        <v>616</v>
      </c>
      <c r="E533">
        <v>85</v>
      </c>
      <c r="F533" t="s">
        <v>617</v>
      </c>
      <c r="G533" t="s">
        <v>1</v>
      </c>
      <c r="H533" s="26" t="s">
        <v>1420</v>
      </c>
      <c r="I533" t="s">
        <v>1</v>
      </c>
      <c r="J533" t="s">
        <v>1</v>
      </c>
      <c r="K533" t="s">
        <v>1</v>
      </c>
      <c r="L533" t="s">
        <v>1</v>
      </c>
      <c r="M533" t="s">
        <v>1</v>
      </c>
      <c r="N533" t="s">
        <v>1</v>
      </c>
      <c r="O533" t="s">
        <v>1</v>
      </c>
      <c r="P533" t="s">
        <v>1</v>
      </c>
      <c r="Q533" t="s">
        <v>1</v>
      </c>
      <c r="R533" t="s">
        <v>1</v>
      </c>
      <c r="S533" t="s">
        <v>1</v>
      </c>
      <c r="T533" t="s">
        <v>1</v>
      </c>
      <c r="U533" t="s">
        <v>1</v>
      </c>
      <c r="V533" t="s">
        <v>1</v>
      </c>
      <c r="W533" t="s">
        <v>1</v>
      </c>
      <c r="X533" t="s">
        <v>1</v>
      </c>
      <c r="Y533" t="s">
        <v>1</v>
      </c>
      <c r="Z533" t="s">
        <v>1</v>
      </c>
      <c r="AA533" t="s">
        <v>1</v>
      </c>
      <c r="AB533" t="s">
        <v>1</v>
      </c>
      <c r="AC533" t="s">
        <v>1</v>
      </c>
      <c r="AD533" t="s">
        <v>1</v>
      </c>
      <c r="AE533" t="s">
        <v>1</v>
      </c>
      <c r="AF533" t="s">
        <v>1</v>
      </c>
      <c r="AG533" t="s">
        <v>1</v>
      </c>
      <c r="AH533" t="s">
        <v>1</v>
      </c>
      <c r="AI533" t="s">
        <v>1</v>
      </c>
      <c r="AJ533" t="s">
        <v>1</v>
      </c>
      <c r="AK533" t="s">
        <v>1</v>
      </c>
      <c r="AL533" t="s">
        <v>1</v>
      </c>
      <c r="AM533" t="s">
        <v>1</v>
      </c>
      <c r="AN533">
        <v>501</v>
      </c>
      <c r="AO533">
        <f t="shared" si="69"/>
        <v>501</v>
      </c>
      <c r="AP533">
        <f t="shared" si="72"/>
        <v>85</v>
      </c>
      <c r="AQ533">
        <f t="shared" si="71"/>
        <v>85</v>
      </c>
      <c r="AR533" s="26" t="s">
        <v>1355</v>
      </c>
      <c r="AS533" s="26" t="s">
        <v>1356</v>
      </c>
      <c r="AT533" t="s">
        <v>723</v>
      </c>
      <c r="AU533" t="s">
        <v>1</v>
      </c>
      <c r="AV533" t="s">
        <v>1</v>
      </c>
      <c r="AW533">
        <v>35.68</v>
      </c>
      <c r="AX533">
        <v>51.32</v>
      </c>
      <c r="AY533" t="s">
        <v>737</v>
      </c>
      <c r="BA533" s="3">
        <v>8</v>
      </c>
      <c r="BB533" s="3"/>
      <c r="BC533" s="3"/>
      <c r="BD533" s="3"/>
      <c r="BE533" s="3"/>
      <c r="BF533">
        <v>2012</v>
      </c>
      <c r="BG533" s="24" t="s">
        <v>733</v>
      </c>
      <c r="BH533" s="24" t="s">
        <v>733</v>
      </c>
      <c r="BI533" s="24" t="s">
        <v>733</v>
      </c>
      <c r="BJ533" s="24" t="s">
        <v>732</v>
      </c>
      <c r="BK533" s="24" t="s">
        <v>733</v>
      </c>
      <c r="BL533" s="25" t="s">
        <v>733</v>
      </c>
      <c r="BM533" s="24" t="s">
        <v>733</v>
      </c>
      <c r="BN533" s="24" t="s">
        <v>732</v>
      </c>
      <c r="BO533" s="24" t="s">
        <v>733</v>
      </c>
      <c r="BP533" s="24" t="s">
        <v>733</v>
      </c>
      <c r="BQ533" s="24" t="s">
        <v>945</v>
      </c>
      <c r="BR533" s="24" t="s">
        <v>945</v>
      </c>
      <c r="BS533" s="25" t="s">
        <v>934</v>
      </c>
      <c r="BT533" s="24" t="s">
        <v>934</v>
      </c>
      <c r="BU533" s="24" t="s">
        <v>934</v>
      </c>
      <c r="BV533" s="24" t="s">
        <v>934</v>
      </c>
      <c r="BW533" s="24" t="s">
        <v>934</v>
      </c>
      <c r="BX533" s="24" t="s">
        <v>934</v>
      </c>
      <c r="BY533" s="25" t="s">
        <v>945</v>
      </c>
      <c r="BZ533" t="s">
        <v>5</v>
      </c>
      <c r="CB533" t="s">
        <v>1</v>
      </c>
      <c r="CC533" s="4">
        <f>AVERAGE(2045,2050)*90%</f>
        <v>1842.75</v>
      </c>
      <c r="CD533" s="4"/>
      <c r="CE533" s="4"/>
      <c r="CF533" t="s">
        <v>793</v>
      </c>
      <c r="CG533">
        <v>100</v>
      </c>
      <c r="CH533" t="s">
        <v>805</v>
      </c>
      <c r="CI533" s="28">
        <v>1</v>
      </c>
      <c r="CJ533" s="10" t="s">
        <v>1442</v>
      </c>
      <c r="CK533" t="s">
        <v>807</v>
      </c>
      <c r="CL533" s="4">
        <f>AVERAGE(7519,6749.5)-1842.75</f>
        <v>5291.5</v>
      </c>
      <c r="CM533" t="s">
        <v>847</v>
      </c>
      <c r="CN533" s="17">
        <v>78.375031000000007</v>
      </c>
      <c r="CO533" s="4" t="s">
        <v>1</v>
      </c>
      <c r="CP533" s="4" t="s">
        <v>1</v>
      </c>
      <c r="CQ533" s="4" t="s">
        <v>1</v>
      </c>
      <c r="CR533" s="4" t="s">
        <v>1</v>
      </c>
      <c r="CS533" s="4" t="s">
        <v>1</v>
      </c>
      <c r="CT533" s="4" t="s">
        <v>1</v>
      </c>
      <c r="CU533" s="4" t="s">
        <v>1</v>
      </c>
      <c r="CV533" t="s">
        <v>855</v>
      </c>
      <c r="CW533">
        <v>100</v>
      </c>
      <c r="CX533">
        <v>0</v>
      </c>
      <c r="CY533">
        <v>30</v>
      </c>
      <c r="CZ533" s="26" t="s">
        <v>1358</v>
      </c>
      <c r="DA533" t="s">
        <v>734</v>
      </c>
      <c r="DB533">
        <v>62</v>
      </c>
      <c r="DC533">
        <v>0</v>
      </c>
      <c r="DD533">
        <v>30</v>
      </c>
      <c r="DE533" s="26" t="s">
        <v>1358</v>
      </c>
      <c r="DF533" t="s">
        <v>735</v>
      </c>
      <c r="DG533">
        <v>18.5</v>
      </c>
      <c r="DH533">
        <v>0</v>
      </c>
      <c r="DI533">
        <v>30</v>
      </c>
      <c r="DJ533" s="26" t="s">
        <v>1358</v>
      </c>
      <c r="DK533" t="s">
        <v>736</v>
      </c>
      <c r="DL533">
        <v>19.5</v>
      </c>
      <c r="DM533">
        <v>0</v>
      </c>
      <c r="DN533">
        <v>30</v>
      </c>
      <c r="DO533" s="26" t="s">
        <v>1358</v>
      </c>
      <c r="DP533" t="s">
        <v>6</v>
      </c>
      <c r="DQ533" t="s">
        <v>1</v>
      </c>
      <c r="DR533">
        <v>7</v>
      </c>
      <c r="DS533">
        <v>0</v>
      </c>
      <c r="DT533">
        <v>30</v>
      </c>
      <c r="DU533" s="26" t="s">
        <v>1358</v>
      </c>
      <c r="EA533" t="s">
        <v>982</v>
      </c>
      <c r="EB533">
        <v>2.9</v>
      </c>
      <c r="EC533">
        <v>0</v>
      </c>
      <c r="ED533">
        <v>30</v>
      </c>
      <c r="EE533" s="26" t="s">
        <v>1358</v>
      </c>
      <c r="EF533" s="26"/>
      <c r="FZ533" t="s">
        <v>806</v>
      </c>
      <c r="GA533">
        <v>7.8</v>
      </c>
      <c r="GE533" s="26" t="s">
        <v>1358</v>
      </c>
      <c r="HA533" s="5" t="s">
        <v>1069</v>
      </c>
      <c r="HB533" s="4">
        <v>6.15</v>
      </c>
      <c r="HC533">
        <v>0</v>
      </c>
      <c r="HD533">
        <v>30</v>
      </c>
      <c r="HE533" s="26" t="s">
        <v>1358</v>
      </c>
      <c r="HF533" s="5" t="s">
        <v>1</v>
      </c>
      <c r="HG533" s="4" t="s">
        <v>1</v>
      </c>
      <c r="HH533" t="s">
        <v>1</v>
      </c>
      <c r="HI533" t="s">
        <v>1</v>
      </c>
      <c r="HJ533" t="s">
        <v>1</v>
      </c>
      <c r="HK533" t="s">
        <v>815</v>
      </c>
      <c r="HL533">
        <v>1.4449999999999998</v>
      </c>
      <c r="HM533">
        <v>0</v>
      </c>
      <c r="HN533">
        <v>30</v>
      </c>
      <c r="HO533" t="s">
        <v>1</v>
      </c>
      <c r="HP533" s="26" t="s">
        <v>1358</v>
      </c>
      <c r="HZ533" t="s">
        <v>969</v>
      </c>
      <c r="IA533">
        <v>150</v>
      </c>
      <c r="IB533" s="10" t="s">
        <v>1</v>
      </c>
      <c r="IC533" s="10"/>
      <c r="ID533" s="10"/>
      <c r="IE533" s="10" t="s">
        <v>1</v>
      </c>
      <c r="IF533" s="10" t="s">
        <v>1</v>
      </c>
      <c r="IG533" s="10"/>
      <c r="IH533" s="10"/>
      <c r="II533" s="10"/>
      <c r="IJ533" s="10"/>
      <c r="IK533" s="10"/>
      <c r="IL533" s="10"/>
      <c r="IM533" s="10"/>
      <c r="IN533" s="10"/>
      <c r="IO533" s="10"/>
      <c r="IP533" s="10"/>
      <c r="IQ533" s="10"/>
      <c r="IR533" s="10"/>
      <c r="IS533" t="s">
        <v>1</v>
      </c>
      <c r="IT533" t="s">
        <v>1</v>
      </c>
      <c r="IW533" t="s">
        <v>1</v>
      </c>
      <c r="IX533" t="s">
        <v>1</v>
      </c>
      <c r="IY533" t="s">
        <v>808</v>
      </c>
      <c r="IZ533">
        <v>5335</v>
      </c>
      <c r="JA533" t="s">
        <v>1</v>
      </c>
      <c r="JB533" s="3" t="s">
        <v>1</v>
      </c>
      <c r="JC533" t="s">
        <v>1</v>
      </c>
      <c r="JD533" s="4" t="s">
        <v>1</v>
      </c>
      <c r="JE533" t="s">
        <v>810</v>
      </c>
      <c r="JF533">
        <v>100</v>
      </c>
      <c r="JR533" t="s">
        <v>1066</v>
      </c>
      <c r="JS533">
        <v>81.2</v>
      </c>
      <c r="JU533" t="s">
        <v>1</v>
      </c>
      <c r="JW533" t="s">
        <v>1</v>
      </c>
      <c r="JX533">
        <v>0</v>
      </c>
      <c r="JY533">
        <v>80</v>
      </c>
      <c r="JZ533" t="s">
        <v>800</v>
      </c>
      <c r="KA533" t="s">
        <v>432</v>
      </c>
      <c r="KB533" t="s">
        <v>738</v>
      </c>
      <c r="KC533" t="s">
        <v>1</v>
      </c>
      <c r="KD533" t="s">
        <v>1</v>
      </c>
      <c r="KE533" t="s">
        <v>1</v>
      </c>
      <c r="KF533" t="s">
        <v>1</v>
      </c>
      <c r="KG533" t="s">
        <v>1</v>
      </c>
      <c r="KH533" t="s">
        <v>1</v>
      </c>
      <c r="KI533" t="s">
        <v>1</v>
      </c>
      <c r="KJ533" t="s">
        <v>1</v>
      </c>
      <c r="KK533" t="s">
        <v>1</v>
      </c>
    </row>
    <row r="534" spans="1:297" x14ac:dyDescent="0.2">
      <c r="A534">
        <v>502</v>
      </c>
      <c r="B534" t="s">
        <v>705</v>
      </c>
      <c r="C534" t="s">
        <v>620</v>
      </c>
      <c r="D534" t="s">
        <v>616</v>
      </c>
      <c r="E534">
        <v>85</v>
      </c>
      <c r="F534" t="s">
        <v>617</v>
      </c>
      <c r="G534" t="s">
        <v>1</v>
      </c>
      <c r="H534" s="26" t="s">
        <v>1420</v>
      </c>
      <c r="I534" t="s">
        <v>1</v>
      </c>
      <c r="J534" t="s">
        <v>1</v>
      </c>
      <c r="K534" t="s">
        <v>1</v>
      </c>
      <c r="L534" t="s">
        <v>1</v>
      </c>
      <c r="M534" t="s">
        <v>1</v>
      </c>
      <c r="N534" t="s">
        <v>1</v>
      </c>
      <c r="O534" t="s">
        <v>1</v>
      </c>
      <c r="P534" t="s">
        <v>1</v>
      </c>
      <c r="Q534" t="s">
        <v>1</v>
      </c>
      <c r="R534" t="s">
        <v>1</v>
      </c>
      <c r="S534" t="s">
        <v>1</v>
      </c>
      <c r="T534" t="s">
        <v>1</v>
      </c>
      <c r="U534" t="s">
        <v>1</v>
      </c>
      <c r="V534" t="s">
        <v>1</v>
      </c>
      <c r="W534" t="s">
        <v>1</v>
      </c>
      <c r="X534" t="s">
        <v>1</v>
      </c>
      <c r="Y534" t="s">
        <v>1</v>
      </c>
      <c r="Z534" t="s">
        <v>1</v>
      </c>
      <c r="AA534" t="s">
        <v>1</v>
      </c>
      <c r="AB534" t="s">
        <v>1</v>
      </c>
      <c r="AC534" t="s">
        <v>1</v>
      </c>
      <c r="AD534" t="s">
        <v>1</v>
      </c>
      <c r="AE534" t="s">
        <v>1</v>
      </c>
      <c r="AF534" t="s">
        <v>1</v>
      </c>
      <c r="AG534" t="s">
        <v>1</v>
      </c>
      <c r="AH534" t="s">
        <v>1</v>
      </c>
      <c r="AI534" t="s">
        <v>1</v>
      </c>
      <c r="AJ534" t="s">
        <v>1</v>
      </c>
      <c r="AK534" t="s">
        <v>1</v>
      </c>
      <c r="AL534" t="s">
        <v>1</v>
      </c>
      <c r="AM534" t="s">
        <v>1</v>
      </c>
      <c r="AN534">
        <v>502</v>
      </c>
      <c r="AO534">
        <f t="shared" si="69"/>
        <v>502</v>
      </c>
      <c r="AP534">
        <f t="shared" si="72"/>
        <v>85</v>
      </c>
      <c r="AQ534">
        <f t="shared" si="71"/>
        <v>85</v>
      </c>
      <c r="AR534" s="26" t="s">
        <v>1355</v>
      </c>
      <c r="AS534" s="26" t="s">
        <v>1356</v>
      </c>
      <c r="AT534" t="s">
        <v>723</v>
      </c>
      <c r="AU534" t="s">
        <v>1</v>
      </c>
      <c r="AV534" t="s">
        <v>1</v>
      </c>
      <c r="AW534">
        <v>35.68</v>
      </c>
      <c r="AX534">
        <v>51.32</v>
      </c>
      <c r="AY534" t="s">
        <v>737</v>
      </c>
      <c r="BA534" s="3">
        <v>8</v>
      </c>
      <c r="BB534" s="3"/>
      <c r="BC534" s="3"/>
      <c r="BD534" s="3"/>
      <c r="BE534" s="3"/>
      <c r="BF534">
        <v>2012</v>
      </c>
      <c r="BG534" s="24" t="s">
        <v>733</v>
      </c>
      <c r="BH534" s="24" t="s">
        <v>733</v>
      </c>
      <c r="BI534" s="24" t="s">
        <v>733</v>
      </c>
      <c r="BJ534" s="24" t="s">
        <v>732</v>
      </c>
      <c r="BK534" s="24" t="s">
        <v>733</v>
      </c>
      <c r="BL534" s="25" t="s">
        <v>733</v>
      </c>
      <c r="BM534" s="24" t="s">
        <v>733</v>
      </c>
      <c r="BN534" s="24" t="s">
        <v>732</v>
      </c>
      <c r="BO534" s="24" t="s">
        <v>733</v>
      </c>
      <c r="BP534" s="24" t="s">
        <v>733</v>
      </c>
      <c r="BQ534" s="24" t="s">
        <v>945</v>
      </c>
      <c r="BR534" s="24" t="s">
        <v>945</v>
      </c>
      <c r="BS534" s="25" t="s">
        <v>934</v>
      </c>
      <c r="BT534" s="24" t="s">
        <v>934</v>
      </c>
      <c r="BU534" s="24" t="s">
        <v>934</v>
      </c>
      <c r="BV534" s="24" t="s">
        <v>934</v>
      </c>
      <c r="BW534" s="24" t="s">
        <v>934</v>
      </c>
      <c r="BX534" s="24" t="s">
        <v>934</v>
      </c>
      <c r="BY534" s="25" t="s">
        <v>945</v>
      </c>
      <c r="BZ534" t="s">
        <v>5</v>
      </c>
      <c r="CB534" t="s">
        <v>1</v>
      </c>
      <c r="CC534" s="4">
        <f>AVERAGE(2048,2188)*90%</f>
        <v>1906.2</v>
      </c>
      <c r="CD534" s="4"/>
      <c r="CE534" s="4"/>
      <c r="CF534" t="s">
        <v>793</v>
      </c>
      <c r="CG534">
        <v>100</v>
      </c>
      <c r="CH534" t="s">
        <v>805</v>
      </c>
      <c r="CI534" s="28">
        <v>1</v>
      </c>
      <c r="CJ534" s="10" t="s">
        <v>1442</v>
      </c>
      <c r="CK534" t="s">
        <v>807</v>
      </c>
      <c r="CL534" s="4">
        <f>AVERAGE(8542.5,7032.5)-1906.2</f>
        <v>5881.3</v>
      </c>
      <c r="CM534" t="s">
        <v>847</v>
      </c>
      <c r="CN534" s="17">
        <v>100.16461375</v>
      </c>
      <c r="CO534" s="4" t="s">
        <v>1</v>
      </c>
      <c r="CP534" s="4" t="s">
        <v>1</v>
      </c>
      <c r="CQ534" s="4" t="s">
        <v>1</v>
      </c>
      <c r="CR534" s="4" t="s">
        <v>1</v>
      </c>
      <c r="CS534" s="4" t="s">
        <v>1</v>
      </c>
      <c r="CT534" s="4" t="s">
        <v>1</v>
      </c>
      <c r="CU534" s="4" t="s">
        <v>1</v>
      </c>
      <c r="CV534" t="s">
        <v>855</v>
      </c>
      <c r="CW534">
        <v>100</v>
      </c>
      <c r="CX534">
        <v>0</v>
      </c>
      <c r="CY534">
        <v>30</v>
      </c>
      <c r="CZ534" s="26" t="s">
        <v>1358</v>
      </c>
      <c r="DA534" t="s">
        <v>734</v>
      </c>
      <c r="DB534">
        <v>62</v>
      </c>
      <c r="DC534">
        <v>0</v>
      </c>
      <c r="DD534">
        <v>30</v>
      </c>
      <c r="DE534" s="26" t="s">
        <v>1358</v>
      </c>
      <c r="DF534" t="s">
        <v>735</v>
      </c>
      <c r="DG534">
        <v>18.5</v>
      </c>
      <c r="DH534">
        <v>0</v>
      </c>
      <c r="DI534">
        <v>30</v>
      </c>
      <c r="DJ534" s="26" t="s">
        <v>1358</v>
      </c>
      <c r="DK534" t="s">
        <v>736</v>
      </c>
      <c r="DL534">
        <v>19.5</v>
      </c>
      <c r="DM534">
        <v>0</v>
      </c>
      <c r="DN534">
        <v>30</v>
      </c>
      <c r="DO534" s="26" t="s">
        <v>1358</v>
      </c>
      <c r="DP534" t="s">
        <v>6</v>
      </c>
      <c r="DQ534" t="s">
        <v>1</v>
      </c>
      <c r="DR534">
        <v>7</v>
      </c>
      <c r="DS534">
        <v>0</v>
      </c>
      <c r="DT534">
        <v>30</v>
      </c>
      <c r="DU534" s="26" t="s">
        <v>1358</v>
      </c>
      <c r="EA534" t="s">
        <v>982</v>
      </c>
      <c r="EB534">
        <v>2.9</v>
      </c>
      <c r="EC534">
        <v>0</v>
      </c>
      <c r="ED534">
        <v>30</v>
      </c>
      <c r="EE534" s="26" t="s">
        <v>1358</v>
      </c>
      <c r="EF534" s="26"/>
      <c r="FZ534" t="s">
        <v>806</v>
      </c>
      <c r="GA534">
        <v>7.8</v>
      </c>
      <c r="GE534" s="26" t="s">
        <v>1358</v>
      </c>
      <c r="HA534" s="5" t="s">
        <v>1069</v>
      </c>
      <c r="HB534" s="4">
        <v>6.15</v>
      </c>
      <c r="HC534">
        <v>0</v>
      </c>
      <c r="HD534">
        <v>30</v>
      </c>
      <c r="HE534" s="26" t="s">
        <v>1358</v>
      </c>
      <c r="HF534" s="5" t="s">
        <v>1</v>
      </c>
      <c r="HG534" s="4" t="s">
        <v>1</v>
      </c>
      <c r="HH534" t="s">
        <v>1</v>
      </c>
      <c r="HI534" t="s">
        <v>1</v>
      </c>
      <c r="HJ534" t="s">
        <v>1</v>
      </c>
      <c r="HK534" t="s">
        <v>815</v>
      </c>
      <c r="HL534">
        <v>1.4449999999999998</v>
      </c>
      <c r="HM534">
        <v>0</v>
      </c>
      <c r="HN534">
        <v>30</v>
      </c>
      <c r="HO534" t="s">
        <v>1</v>
      </c>
      <c r="HP534" s="26" t="s">
        <v>1358</v>
      </c>
      <c r="HZ534" t="s">
        <v>969</v>
      </c>
      <c r="IA534">
        <v>300</v>
      </c>
      <c r="IB534" s="10" t="s">
        <v>1</v>
      </c>
      <c r="IC534" s="10"/>
      <c r="ID534" s="10"/>
      <c r="IE534" s="10" t="s">
        <v>1</v>
      </c>
      <c r="IF534" s="10" t="s">
        <v>1</v>
      </c>
      <c r="IG534" s="10"/>
      <c r="IH534" s="10"/>
      <c r="II534" s="10"/>
      <c r="IJ534" s="10"/>
      <c r="IK534" s="10"/>
      <c r="IL534" s="10"/>
      <c r="IM534" s="10"/>
      <c r="IN534" s="10"/>
      <c r="IO534" s="10"/>
      <c r="IP534" s="10"/>
      <c r="IQ534" s="10"/>
      <c r="IR534" s="10"/>
      <c r="IS534" t="s">
        <v>1</v>
      </c>
      <c r="IT534" t="s">
        <v>1</v>
      </c>
      <c r="IW534" t="s">
        <v>1</v>
      </c>
      <c r="IX534" t="s">
        <v>1</v>
      </c>
      <c r="IY534" t="s">
        <v>808</v>
      </c>
      <c r="IZ534">
        <v>5335</v>
      </c>
      <c r="JA534" t="s">
        <v>1</v>
      </c>
      <c r="JB534" s="3" t="s">
        <v>1</v>
      </c>
      <c r="JC534" t="s">
        <v>1</v>
      </c>
      <c r="JD534" s="4" t="s">
        <v>1</v>
      </c>
      <c r="JE534" t="s">
        <v>810</v>
      </c>
      <c r="JF534">
        <v>100</v>
      </c>
      <c r="JR534" t="s">
        <v>1066</v>
      </c>
      <c r="JS534">
        <v>216</v>
      </c>
      <c r="JU534" t="s">
        <v>1</v>
      </c>
      <c r="JW534" t="s">
        <v>1</v>
      </c>
      <c r="JX534">
        <v>0</v>
      </c>
      <c r="JY534">
        <v>80</v>
      </c>
      <c r="JZ534" t="s">
        <v>800</v>
      </c>
      <c r="KA534" t="s">
        <v>432</v>
      </c>
      <c r="KB534" t="s">
        <v>738</v>
      </c>
      <c r="KC534" t="s">
        <v>1</v>
      </c>
      <c r="KD534" t="s">
        <v>1</v>
      </c>
      <c r="KE534" t="s">
        <v>1</v>
      </c>
      <c r="KF534" t="s">
        <v>1</v>
      </c>
      <c r="KG534" t="s">
        <v>1</v>
      </c>
      <c r="KH534" t="s">
        <v>1</v>
      </c>
      <c r="KI534" t="s">
        <v>1</v>
      </c>
      <c r="KJ534" t="s">
        <v>1</v>
      </c>
      <c r="KK534" t="s">
        <v>1</v>
      </c>
    </row>
    <row r="535" spans="1:297" x14ac:dyDescent="0.2">
      <c r="A535">
        <v>503</v>
      </c>
      <c r="B535" t="s">
        <v>705</v>
      </c>
      <c r="C535" t="s">
        <v>621</v>
      </c>
      <c r="D535" t="s">
        <v>616</v>
      </c>
      <c r="E535">
        <v>85</v>
      </c>
      <c r="F535" t="s">
        <v>617</v>
      </c>
      <c r="G535" t="s">
        <v>1</v>
      </c>
      <c r="H535" s="26" t="s">
        <v>1420</v>
      </c>
      <c r="I535" t="s">
        <v>1</v>
      </c>
      <c r="J535" t="s">
        <v>1</v>
      </c>
      <c r="K535" t="s">
        <v>1</v>
      </c>
      <c r="L535" t="s">
        <v>1</v>
      </c>
      <c r="M535" t="s">
        <v>1</v>
      </c>
      <c r="N535" t="s">
        <v>1</v>
      </c>
      <c r="O535" t="s">
        <v>1</v>
      </c>
      <c r="P535" t="s">
        <v>1</v>
      </c>
      <c r="Q535" t="s">
        <v>1</v>
      </c>
      <c r="R535" t="s">
        <v>1</v>
      </c>
      <c r="S535" t="s">
        <v>1</v>
      </c>
      <c r="T535" t="s">
        <v>1</v>
      </c>
      <c r="U535" t="s">
        <v>1</v>
      </c>
      <c r="V535" t="s">
        <v>1</v>
      </c>
      <c r="W535" t="s">
        <v>1</v>
      </c>
      <c r="X535" t="s">
        <v>1</v>
      </c>
      <c r="Y535" t="s">
        <v>1</v>
      </c>
      <c r="Z535" t="s">
        <v>1</v>
      </c>
      <c r="AA535" t="s">
        <v>1</v>
      </c>
      <c r="AB535" t="s">
        <v>1</v>
      </c>
      <c r="AC535" t="s">
        <v>1</v>
      </c>
      <c r="AD535" t="s">
        <v>1</v>
      </c>
      <c r="AE535" t="s">
        <v>1</v>
      </c>
      <c r="AF535" t="s">
        <v>1</v>
      </c>
      <c r="AG535" t="s">
        <v>1</v>
      </c>
      <c r="AH535" t="s">
        <v>1</v>
      </c>
      <c r="AI535" t="s">
        <v>1</v>
      </c>
      <c r="AJ535" t="s">
        <v>1</v>
      </c>
      <c r="AK535" t="s">
        <v>1</v>
      </c>
      <c r="AL535" t="s">
        <v>1</v>
      </c>
      <c r="AM535" t="s">
        <v>1</v>
      </c>
      <c r="AN535">
        <v>503</v>
      </c>
      <c r="AO535">
        <f t="shared" si="69"/>
        <v>503</v>
      </c>
      <c r="AP535">
        <f t="shared" si="72"/>
        <v>85</v>
      </c>
      <c r="AQ535">
        <f t="shared" si="71"/>
        <v>85</v>
      </c>
      <c r="AR535" s="26" t="s">
        <v>1355</v>
      </c>
      <c r="AS535" s="26" t="s">
        <v>1356</v>
      </c>
      <c r="AT535" t="s">
        <v>723</v>
      </c>
      <c r="AU535" t="s">
        <v>1</v>
      </c>
      <c r="AV535" t="s">
        <v>1</v>
      </c>
      <c r="AW535">
        <v>35.68</v>
      </c>
      <c r="AX535">
        <v>51.32</v>
      </c>
      <c r="AY535" t="s">
        <v>737</v>
      </c>
      <c r="BA535" s="3">
        <v>8</v>
      </c>
      <c r="BB535" s="3"/>
      <c r="BC535" s="3"/>
      <c r="BD535" s="3"/>
      <c r="BE535" s="3"/>
      <c r="BF535">
        <v>2012</v>
      </c>
      <c r="BG535" s="24" t="s">
        <v>733</v>
      </c>
      <c r="BH535" s="24" t="s">
        <v>733</v>
      </c>
      <c r="BI535" s="24" t="s">
        <v>733</v>
      </c>
      <c r="BJ535" s="24" t="s">
        <v>732</v>
      </c>
      <c r="BK535" s="24" t="s">
        <v>733</v>
      </c>
      <c r="BL535" s="25" t="s">
        <v>733</v>
      </c>
      <c r="BM535" s="24" t="s">
        <v>733</v>
      </c>
      <c r="BN535" s="24" t="s">
        <v>732</v>
      </c>
      <c r="BO535" s="24" t="s">
        <v>733</v>
      </c>
      <c r="BP535" s="24" t="s">
        <v>733</v>
      </c>
      <c r="BQ535" s="24" t="s">
        <v>945</v>
      </c>
      <c r="BR535" s="24" t="s">
        <v>945</v>
      </c>
      <c r="BS535" s="25" t="s">
        <v>934</v>
      </c>
      <c r="BT535" s="24" t="s">
        <v>934</v>
      </c>
      <c r="BU535" s="24" t="s">
        <v>934</v>
      </c>
      <c r="BV535" s="24" t="s">
        <v>934</v>
      </c>
      <c r="BW535" s="24" t="s">
        <v>934</v>
      </c>
      <c r="BX535" s="24" t="s">
        <v>934</v>
      </c>
      <c r="BY535" s="25" t="s">
        <v>945</v>
      </c>
      <c r="BZ535" t="s">
        <v>5</v>
      </c>
      <c r="CB535" t="s">
        <v>1</v>
      </c>
      <c r="CC535" s="4">
        <f>AVERAGE(2051,2206)*90%</f>
        <v>1915.65</v>
      </c>
      <c r="CD535" s="4"/>
      <c r="CE535" s="4"/>
      <c r="CF535" t="s">
        <v>793</v>
      </c>
      <c r="CG535">
        <v>100</v>
      </c>
      <c r="CH535" t="s">
        <v>805</v>
      </c>
      <c r="CI535" s="28">
        <v>1</v>
      </c>
      <c r="CJ535" s="10" t="s">
        <v>1442</v>
      </c>
      <c r="CK535" t="s">
        <v>807</v>
      </c>
      <c r="CL535" s="4">
        <f>AVERAGE(8456.5,7704.5)-1915.65</f>
        <v>6164.85</v>
      </c>
      <c r="CM535" t="s">
        <v>847</v>
      </c>
      <c r="CN535" s="17">
        <v>100.95150025</v>
      </c>
      <c r="CO535" s="4" t="s">
        <v>1</v>
      </c>
      <c r="CP535" s="4" t="s">
        <v>1</v>
      </c>
      <c r="CQ535" s="4" t="s">
        <v>1</v>
      </c>
      <c r="CR535" s="4" t="s">
        <v>1</v>
      </c>
      <c r="CS535" s="4" t="s">
        <v>1</v>
      </c>
      <c r="CT535" s="4" t="s">
        <v>1</v>
      </c>
      <c r="CU535" s="4" t="s">
        <v>1</v>
      </c>
      <c r="CV535" t="s">
        <v>855</v>
      </c>
      <c r="CW535">
        <v>100</v>
      </c>
      <c r="CX535">
        <v>0</v>
      </c>
      <c r="CY535">
        <v>30</v>
      </c>
      <c r="CZ535" s="26" t="s">
        <v>1358</v>
      </c>
      <c r="DA535" t="s">
        <v>734</v>
      </c>
      <c r="DB535">
        <v>62</v>
      </c>
      <c r="DC535">
        <v>0</v>
      </c>
      <c r="DD535">
        <v>30</v>
      </c>
      <c r="DE535" s="26" t="s">
        <v>1358</v>
      </c>
      <c r="DF535" t="s">
        <v>735</v>
      </c>
      <c r="DG535">
        <v>18.5</v>
      </c>
      <c r="DH535">
        <v>0</v>
      </c>
      <c r="DI535">
        <v>30</v>
      </c>
      <c r="DJ535" s="26" t="s">
        <v>1358</v>
      </c>
      <c r="DK535" t="s">
        <v>736</v>
      </c>
      <c r="DL535">
        <v>19.5</v>
      </c>
      <c r="DM535">
        <v>0</v>
      </c>
      <c r="DN535">
        <v>30</v>
      </c>
      <c r="DO535" s="26" t="s">
        <v>1358</v>
      </c>
      <c r="DP535" t="s">
        <v>6</v>
      </c>
      <c r="DQ535" t="s">
        <v>1</v>
      </c>
      <c r="DR535">
        <v>7</v>
      </c>
      <c r="DS535">
        <v>0</v>
      </c>
      <c r="DT535">
        <v>30</v>
      </c>
      <c r="DU535" s="26" t="s">
        <v>1358</v>
      </c>
      <c r="EA535" t="s">
        <v>982</v>
      </c>
      <c r="EB535">
        <v>2.9</v>
      </c>
      <c r="EC535">
        <v>0</v>
      </c>
      <c r="ED535">
        <v>30</v>
      </c>
      <c r="EE535" s="26" t="s">
        <v>1358</v>
      </c>
      <c r="EF535" s="26"/>
      <c r="FZ535" t="s">
        <v>806</v>
      </c>
      <c r="GA535">
        <v>7.8</v>
      </c>
      <c r="GE535" s="26" t="s">
        <v>1358</v>
      </c>
      <c r="HA535" s="5" t="s">
        <v>1069</v>
      </c>
      <c r="HB535" s="4">
        <v>6.15</v>
      </c>
      <c r="HC535">
        <v>0</v>
      </c>
      <c r="HD535">
        <v>30</v>
      </c>
      <c r="HE535" s="26" t="s">
        <v>1358</v>
      </c>
      <c r="HF535" s="5" t="s">
        <v>1</v>
      </c>
      <c r="HG535" s="4" t="s">
        <v>1</v>
      </c>
      <c r="HH535" t="s">
        <v>1</v>
      </c>
      <c r="HI535" t="s">
        <v>1</v>
      </c>
      <c r="HJ535" t="s">
        <v>1</v>
      </c>
      <c r="HK535" t="s">
        <v>815</v>
      </c>
      <c r="HL535">
        <v>1.4449999999999998</v>
      </c>
      <c r="HM535">
        <v>0</v>
      </c>
      <c r="HN535">
        <v>30</v>
      </c>
      <c r="HO535" t="s">
        <v>1</v>
      </c>
      <c r="HP535" s="26" t="s">
        <v>1358</v>
      </c>
      <c r="HZ535" t="s">
        <v>969</v>
      </c>
      <c r="IA535">
        <v>450</v>
      </c>
      <c r="IB535" s="10" t="s">
        <v>1</v>
      </c>
      <c r="IC535" s="10"/>
      <c r="ID535" s="10"/>
      <c r="IE535" s="10" t="s">
        <v>1</v>
      </c>
      <c r="IF535" s="10" t="s">
        <v>1</v>
      </c>
      <c r="IG535" s="10"/>
      <c r="IH535" s="10"/>
      <c r="II535" s="10"/>
      <c r="IJ535" s="10"/>
      <c r="IK535" s="10"/>
      <c r="IL535" s="10"/>
      <c r="IM535" s="10"/>
      <c r="IN535" s="10"/>
      <c r="IO535" s="10"/>
      <c r="IP535" s="10"/>
      <c r="IQ535" s="10"/>
      <c r="IR535" s="10"/>
      <c r="IS535" t="s">
        <v>1</v>
      </c>
      <c r="IT535" t="s">
        <v>1</v>
      </c>
      <c r="IW535" t="s">
        <v>1</v>
      </c>
      <c r="IX535" t="s">
        <v>1</v>
      </c>
      <c r="IY535" t="s">
        <v>808</v>
      </c>
      <c r="IZ535">
        <v>5335</v>
      </c>
      <c r="JA535" t="s">
        <v>1</v>
      </c>
      <c r="JB535" s="3" t="s">
        <v>1</v>
      </c>
      <c r="JC535" t="s">
        <v>1</v>
      </c>
      <c r="JD535" s="4" t="s">
        <v>1</v>
      </c>
      <c r="JE535" t="s">
        <v>810</v>
      </c>
      <c r="JF535">
        <v>100</v>
      </c>
      <c r="JR535" t="s">
        <v>1066</v>
      </c>
      <c r="JS535">
        <v>418.4</v>
      </c>
      <c r="JU535" t="s">
        <v>1</v>
      </c>
      <c r="JW535" t="s">
        <v>1</v>
      </c>
      <c r="JX535">
        <v>0</v>
      </c>
      <c r="JY535">
        <v>80</v>
      </c>
      <c r="JZ535" t="s">
        <v>800</v>
      </c>
      <c r="KA535" t="s">
        <v>432</v>
      </c>
      <c r="KB535" t="s">
        <v>738</v>
      </c>
      <c r="KC535" t="s">
        <v>1</v>
      </c>
      <c r="KD535" t="s">
        <v>1</v>
      </c>
      <c r="KE535" t="s">
        <v>1</v>
      </c>
      <c r="KF535" t="s">
        <v>1</v>
      </c>
      <c r="KG535" t="s">
        <v>1</v>
      </c>
      <c r="KH535" t="s">
        <v>1</v>
      </c>
      <c r="KI535" t="s">
        <v>1</v>
      </c>
      <c r="KJ535" t="s">
        <v>1</v>
      </c>
      <c r="KK535" t="s">
        <v>1</v>
      </c>
    </row>
    <row r="536" spans="1:297" x14ac:dyDescent="0.2">
      <c r="A536">
        <v>504</v>
      </c>
      <c r="B536" t="s">
        <v>705</v>
      </c>
      <c r="C536" t="s">
        <v>622</v>
      </c>
      <c r="D536" t="s">
        <v>616</v>
      </c>
      <c r="E536">
        <v>85</v>
      </c>
      <c r="F536" t="s">
        <v>617</v>
      </c>
      <c r="G536" t="s">
        <v>1</v>
      </c>
      <c r="H536" s="26" t="s">
        <v>1420</v>
      </c>
      <c r="I536" t="s">
        <v>1</v>
      </c>
      <c r="J536" t="s">
        <v>1</v>
      </c>
      <c r="K536" t="s">
        <v>1</v>
      </c>
      <c r="L536" t="s">
        <v>1</v>
      </c>
      <c r="M536" t="s">
        <v>1</v>
      </c>
      <c r="N536" t="s">
        <v>1</v>
      </c>
      <c r="O536" t="s">
        <v>1</v>
      </c>
      <c r="P536" t="s">
        <v>1</v>
      </c>
      <c r="Q536" t="s">
        <v>1</v>
      </c>
      <c r="R536" t="s">
        <v>1</v>
      </c>
      <c r="S536" t="s">
        <v>1</v>
      </c>
      <c r="T536" t="s">
        <v>1</v>
      </c>
      <c r="U536" t="s">
        <v>1</v>
      </c>
      <c r="V536" t="s">
        <v>1</v>
      </c>
      <c r="W536" t="s">
        <v>1</v>
      </c>
      <c r="X536" t="s">
        <v>1</v>
      </c>
      <c r="Y536" t="s">
        <v>1</v>
      </c>
      <c r="Z536" t="s">
        <v>1</v>
      </c>
      <c r="AA536" t="s">
        <v>1</v>
      </c>
      <c r="AB536" t="s">
        <v>1</v>
      </c>
      <c r="AC536" t="s">
        <v>1</v>
      </c>
      <c r="AD536" t="s">
        <v>1</v>
      </c>
      <c r="AE536" t="s">
        <v>1</v>
      </c>
      <c r="AF536" t="s">
        <v>1</v>
      </c>
      <c r="AG536" t="s">
        <v>1</v>
      </c>
      <c r="AH536" t="s">
        <v>1</v>
      </c>
      <c r="AI536" t="s">
        <v>1</v>
      </c>
      <c r="AJ536" t="s">
        <v>1</v>
      </c>
      <c r="AK536" t="s">
        <v>1</v>
      </c>
      <c r="AL536" t="s">
        <v>1</v>
      </c>
      <c r="AM536" t="s">
        <v>1</v>
      </c>
      <c r="AN536">
        <v>504</v>
      </c>
      <c r="AO536">
        <f t="shared" si="69"/>
        <v>504</v>
      </c>
      <c r="AP536">
        <f t="shared" si="72"/>
        <v>85</v>
      </c>
      <c r="AQ536">
        <f t="shared" si="71"/>
        <v>85</v>
      </c>
      <c r="AR536" s="26" t="s">
        <v>1355</v>
      </c>
      <c r="AS536" s="26" t="s">
        <v>1356</v>
      </c>
      <c r="AT536" t="s">
        <v>723</v>
      </c>
      <c r="AU536" t="s">
        <v>1</v>
      </c>
      <c r="AV536" t="s">
        <v>1</v>
      </c>
      <c r="AW536">
        <v>35.68</v>
      </c>
      <c r="AX536">
        <v>51.32</v>
      </c>
      <c r="AY536" t="s">
        <v>737</v>
      </c>
      <c r="BA536" s="3">
        <v>8</v>
      </c>
      <c r="BB536" s="3"/>
      <c r="BC536" s="3"/>
      <c r="BD536" s="3"/>
      <c r="BE536" s="3"/>
      <c r="BF536">
        <v>2012</v>
      </c>
      <c r="BG536" s="24" t="s">
        <v>733</v>
      </c>
      <c r="BH536" s="24" t="s">
        <v>733</v>
      </c>
      <c r="BI536" s="24" t="s">
        <v>733</v>
      </c>
      <c r="BJ536" s="24" t="s">
        <v>732</v>
      </c>
      <c r="BK536" s="24" t="s">
        <v>733</v>
      </c>
      <c r="BL536" s="25" t="s">
        <v>733</v>
      </c>
      <c r="BM536" s="24" t="s">
        <v>733</v>
      </c>
      <c r="BN536" s="24" t="s">
        <v>732</v>
      </c>
      <c r="BO536" s="24" t="s">
        <v>733</v>
      </c>
      <c r="BP536" s="24" t="s">
        <v>733</v>
      </c>
      <c r="BQ536" s="24" t="s">
        <v>945</v>
      </c>
      <c r="BR536" s="24" t="s">
        <v>945</v>
      </c>
      <c r="BS536" s="25" t="s">
        <v>934</v>
      </c>
      <c r="BT536" s="24" t="s">
        <v>934</v>
      </c>
      <c r="BU536" s="24" t="s">
        <v>934</v>
      </c>
      <c r="BV536" s="24" t="s">
        <v>934</v>
      </c>
      <c r="BW536" s="24" t="s">
        <v>934</v>
      </c>
      <c r="BX536" s="24" t="s">
        <v>934</v>
      </c>
      <c r="BY536" s="25" t="s">
        <v>945</v>
      </c>
      <c r="BZ536" t="s">
        <v>5</v>
      </c>
      <c r="CB536" t="s">
        <v>1</v>
      </c>
      <c r="CC536" s="4">
        <f>AVERAGE(2098,2297)*90%</f>
        <v>1977.75</v>
      </c>
      <c r="CD536" s="4"/>
      <c r="CE536" s="4"/>
      <c r="CF536" t="s">
        <v>793</v>
      </c>
      <c r="CG536">
        <v>100</v>
      </c>
      <c r="CH536" t="s">
        <v>805</v>
      </c>
      <c r="CI536" s="28">
        <v>1</v>
      </c>
      <c r="CJ536" s="10" t="s">
        <v>1442</v>
      </c>
      <c r="CK536" t="s">
        <v>807</v>
      </c>
      <c r="CL536" s="4">
        <f>AVERAGE(6919.5,6595)-1977.75</f>
        <v>4779.5</v>
      </c>
      <c r="CM536" t="s">
        <v>847</v>
      </c>
      <c r="CN536" s="17">
        <v>39.718452499999998</v>
      </c>
      <c r="CO536" s="4" t="s">
        <v>1</v>
      </c>
      <c r="CP536" s="4" t="s">
        <v>1</v>
      </c>
      <c r="CQ536" s="4" t="s">
        <v>1</v>
      </c>
      <c r="CR536" s="4" t="s">
        <v>1</v>
      </c>
      <c r="CS536" s="4" t="s">
        <v>1</v>
      </c>
      <c r="CT536" s="4" t="s">
        <v>1</v>
      </c>
      <c r="CU536" s="4" t="s">
        <v>1</v>
      </c>
      <c r="CV536" t="s">
        <v>855</v>
      </c>
      <c r="CW536">
        <v>100</v>
      </c>
      <c r="CX536">
        <v>0</v>
      </c>
      <c r="CY536">
        <v>30</v>
      </c>
      <c r="CZ536" s="26" t="s">
        <v>1358</v>
      </c>
      <c r="DA536" t="s">
        <v>734</v>
      </c>
      <c r="DB536">
        <v>62</v>
      </c>
      <c r="DC536">
        <v>0</v>
      </c>
      <c r="DD536">
        <v>30</v>
      </c>
      <c r="DE536" s="26" t="s">
        <v>1358</v>
      </c>
      <c r="DF536" t="s">
        <v>735</v>
      </c>
      <c r="DG536">
        <v>18.5</v>
      </c>
      <c r="DH536">
        <v>0</v>
      </c>
      <c r="DI536">
        <v>30</v>
      </c>
      <c r="DJ536" s="26" t="s">
        <v>1358</v>
      </c>
      <c r="DK536" t="s">
        <v>736</v>
      </c>
      <c r="DL536">
        <v>19.5</v>
      </c>
      <c r="DM536">
        <v>0</v>
      </c>
      <c r="DN536">
        <v>30</v>
      </c>
      <c r="DO536" s="26" t="s">
        <v>1358</v>
      </c>
      <c r="DP536" t="s">
        <v>6</v>
      </c>
      <c r="DQ536" t="s">
        <v>1</v>
      </c>
      <c r="DR536">
        <v>7</v>
      </c>
      <c r="DS536">
        <v>0</v>
      </c>
      <c r="DT536">
        <v>30</v>
      </c>
      <c r="DU536" s="26" t="s">
        <v>1358</v>
      </c>
      <c r="EA536" t="s">
        <v>982</v>
      </c>
      <c r="EB536">
        <v>2.9</v>
      </c>
      <c r="EC536">
        <v>0</v>
      </c>
      <c r="ED536">
        <v>30</v>
      </c>
      <c r="EE536" s="26" t="s">
        <v>1358</v>
      </c>
      <c r="EF536" s="26"/>
      <c r="FZ536" t="s">
        <v>806</v>
      </c>
      <c r="GA536">
        <v>7.8</v>
      </c>
      <c r="GE536" s="26" t="s">
        <v>1358</v>
      </c>
      <c r="HA536" s="5" t="s">
        <v>1069</v>
      </c>
      <c r="HB536" s="4">
        <v>6.15</v>
      </c>
      <c r="HC536">
        <v>0</v>
      </c>
      <c r="HD536">
        <v>30</v>
      </c>
      <c r="HE536" s="26" t="s">
        <v>1358</v>
      </c>
      <c r="HF536" s="5" t="s">
        <v>1</v>
      </c>
      <c r="HG536" s="4" t="s">
        <v>1</v>
      </c>
      <c r="HH536" t="s">
        <v>1</v>
      </c>
      <c r="HI536" t="s">
        <v>1</v>
      </c>
      <c r="HJ536" t="s">
        <v>1</v>
      </c>
      <c r="HK536" t="s">
        <v>815</v>
      </c>
      <c r="HL536">
        <v>1.4449999999999998</v>
      </c>
      <c r="HM536">
        <v>0</v>
      </c>
      <c r="HN536">
        <v>30</v>
      </c>
      <c r="HO536" t="s">
        <v>1</v>
      </c>
      <c r="HP536" s="26" t="s">
        <v>1358</v>
      </c>
      <c r="HZ536" t="s">
        <v>1</v>
      </c>
      <c r="IA536" t="s">
        <v>1</v>
      </c>
      <c r="IB536" s="10" t="s">
        <v>1</v>
      </c>
      <c r="IC536" s="10"/>
      <c r="ID536" s="10"/>
      <c r="IE536" s="10" t="s">
        <v>1</v>
      </c>
      <c r="IF536" s="10" t="s">
        <v>1</v>
      </c>
      <c r="IG536" s="10"/>
      <c r="IH536" s="10"/>
      <c r="II536" s="10"/>
      <c r="IJ536" s="10"/>
      <c r="IK536" s="10"/>
      <c r="IL536" s="10"/>
      <c r="IM536" s="10"/>
      <c r="IN536" s="10"/>
      <c r="IO536" s="10"/>
      <c r="IP536" s="10"/>
      <c r="IQ536" s="10"/>
      <c r="IR536" s="10"/>
      <c r="IS536" t="s">
        <v>1</v>
      </c>
      <c r="IT536" t="s">
        <v>1</v>
      </c>
      <c r="IW536" t="s">
        <v>1</v>
      </c>
      <c r="IX536" t="s">
        <v>1</v>
      </c>
      <c r="IY536" t="s">
        <v>808</v>
      </c>
      <c r="IZ536">
        <v>9255</v>
      </c>
      <c r="JA536" t="s">
        <v>1</v>
      </c>
      <c r="JB536" s="3" t="s">
        <v>1</v>
      </c>
      <c r="JC536" t="s">
        <v>1</v>
      </c>
      <c r="JD536" s="4" t="s">
        <v>1</v>
      </c>
      <c r="JE536" t="s">
        <v>810</v>
      </c>
      <c r="JF536">
        <v>100</v>
      </c>
      <c r="JR536" t="s">
        <v>1066</v>
      </c>
      <c r="JS536">
        <v>79.5</v>
      </c>
      <c r="JU536" t="s">
        <v>1</v>
      </c>
      <c r="JW536" t="s">
        <v>1</v>
      </c>
      <c r="JX536">
        <v>0</v>
      </c>
      <c r="JY536">
        <v>80</v>
      </c>
      <c r="JZ536" t="s">
        <v>800</v>
      </c>
      <c r="KA536" t="s">
        <v>432</v>
      </c>
      <c r="KB536" t="s">
        <v>738</v>
      </c>
      <c r="KC536" t="s">
        <v>1</v>
      </c>
      <c r="KD536" t="s">
        <v>1</v>
      </c>
      <c r="KE536" t="s">
        <v>1</v>
      </c>
      <c r="KF536" t="s">
        <v>1</v>
      </c>
      <c r="KG536" t="s">
        <v>1</v>
      </c>
      <c r="KH536" t="s">
        <v>1</v>
      </c>
      <c r="KI536" t="s">
        <v>1</v>
      </c>
      <c r="KJ536" t="s">
        <v>1</v>
      </c>
      <c r="KK536" t="s">
        <v>1</v>
      </c>
    </row>
    <row r="537" spans="1:297" x14ac:dyDescent="0.2">
      <c r="A537">
        <v>505</v>
      </c>
      <c r="B537" t="s">
        <v>705</v>
      </c>
      <c r="C537" t="s">
        <v>623</v>
      </c>
      <c r="D537" t="s">
        <v>616</v>
      </c>
      <c r="E537">
        <v>85</v>
      </c>
      <c r="F537" t="s">
        <v>617</v>
      </c>
      <c r="G537" t="s">
        <v>1</v>
      </c>
      <c r="H537" s="26" t="s">
        <v>1420</v>
      </c>
      <c r="I537" t="s">
        <v>1</v>
      </c>
      <c r="J537" t="s">
        <v>1</v>
      </c>
      <c r="K537" t="s">
        <v>1</v>
      </c>
      <c r="L537" t="s">
        <v>1</v>
      </c>
      <c r="M537" t="s">
        <v>1</v>
      </c>
      <c r="N537" t="s">
        <v>1</v>
      </c>
      <c r="O537" t="s">
        <v>1</v>
      </c>
      <c r="P537" t="s">
        <v>1</v>
      </c>
      <c r="Q537" t="s">
        <v>1</v>
      </c>
      <c r="R537" t="s">
        <v>1</v>
      </c>
      <c r="S537" t="s">
        <v>1</v>
      </c>
      <c r="T537" t="s">
        <v>1</v>
      </c>
      <c r="U537" t="s">
        <v>1</v>
      </c>
      <c r="V537" t="s">
        <v>1</v>
      </c>
      <c r="W537" t="s">
        <v>1</v>
      </c>
      <c r="X537" t="s">
        <v>1</v>
      </c>
      <c r="Y537" t="s">
        <v>1</v>
      </c>
      <c r="Z537" t="s">
        <v>1</v>
      </c>
      <c r="AA537" t="s">
        <v>1</v>
      </c>
      <c r="AB537" t="s">
        <v>1</v>
      </c>
      <c r="AC537" t="s">
        <v>1</v>
      </c>
      <c r="AD537" t="s">
        <v>1</v>
      </c>
      <c r="AE537" t="s">
        <v>1</v>
      </c>
      <c r="AF537" t="s">
        <v>1</v>
      </c>
      <c r="AG537" t="s">
        <v>1</v>
      </c>
      <c r="AH537" t="s">
        <v>1</v>
      </c>
      <c r="AI537" t="s">
        <v>1</v>
      </c>
      <c r="AJ537" t="s">
        <v>1</v>
      </c>
      <c r="AK537" t="s">
        <v>1</v>
      </c>
      <c r="AL537" t="s">
        <v>1</v>
      </c>
      <c r="AM537" t="s">
        <v>1</v>
      </c>
      <c r="AN537">
        <v>505</v>
      </c>
      <c r="AO537">
        <f t="shared" si="69"/>
        <v>505</v>
      </c>
      <c r="AP537">
        <f t="shared" si="72"/>
        <v>85</v>
      </c>
      <c r="AQ537">
        <f t="shared" si="71"/>
        <v>85</v>
      </c>
      <c r="AR537" s="26" t="s">
        <v>1355</v>
      </c>
      <c r="AS537" s="26" t="s">
        <v>1356</v>
      </c>
      <c r="AT537" t="s">
        <v>723</v>
      </c>
      <c r="AU537" t="s">
        <v>1</v>
      </c>
      <c r="AV537" t="s">
        <v>1</v>
      </c>
      <c r="AW537">
        <v>35.68</v>
      </c>
      <c r="AX537">
        <v>51.32</v>
      </c>
      <c r="AY537" t="s">
        <v>737</v>
      </c>
      <c r="BA537" s="3">
        <v>8</v>
      </c>
      <c r="BB537" s="3"/>
      <c r="BC537" s="3"/>
      <c r="BD537" s="3"/>
      <c r="BE537" s="3"/>
      <c r="BF537">
        <v>2012</v>
      </c>
      <c r="BG537" s="24" t="s">
        <v>733</v>
      </c>
      <c r="BH537" s="24" t="s">
        <v>733</v>
      </c>
      <c r="BI537" s="24" t="s">
        <v>733</v>
      </c>
      <c r="BJ537" s="24" t="s">
        <v>732</v>
      </c>
      <c r="BK537" s="24" t="s">
        <v>733</v>
      </c>
      <c r="BL537" s="25" t="s">
        <v>733</v>
      </c>
      <c r="BM537" s="24" t="s">
        <v>733</v>
      </c>
      <c r="BN537" s="24" t="s">
        <v>732</v>
      </c>
      <c r="BO537" s="24" t="s">
        <v>733</v>
      </c>
      <c r="BP537" s="24" t="s">
        <v>733</v>
      </c>
      <c r="BQ537" s="24" t="s">
        <v>945</v>
      </c>
      <c r="BR537" s="24" t="s">
        <v>945</v>
      </c>
      <c r="BS537" s="25" t="s">
        <v>934</v>
      </c>
      <c r="BT537" s="24" t="s">
        <v>934</v>
      </c>
      <c r="BU537" s="24" t="s">
        <v>934</v>
      </c>
      <c r="BV537" s="24" t="s">
        <v>934</v>
      </c>
      <c r="BW537" s="24" t="s">
        <v>934</v>
      </c>
      <c r="BX537" s="24" t="s">
        <v>934</v>
      </c>
      <c r="BY537" s="25" t="s">
        <v>945</v>
      </c>
      <c r="BZ537" t="s">
        <v>5</v>
      </c>
      <c r="CB537" t="s">
        <v>1</v>
      </c>
      <c r="CC537" s="4">
        <f>AVERAGE(2813,2627)*90%</f>
        <v>2448</v>
      </c>
      <c r="CD537" s="4"/>
      <c r="CE537" s="4"/>
      <c r="CF537" t="s">
        <v>793</v>
      </c>
      <c r="CG537">
        <v>100</v>
      </c>
      <c r="CH537" t="s">
        <v>805</v>
      </c>
      <c r="CI537" s="28">
        <v>1</v>
      </c>
      <c r="CJ537" s="10" t="s">
        <v>1442</v>
      </c>
      <c r="CK537" t="s">
        <v>807</v>
      </c>
      <c r="CL537" s="4">
        <f>AVERAGE(9965,8894.5)-2448</f>
        <v>6981.75</v>
      </c>
      <c r="CM537" t="s">
        <v>847</v>
      </c>
      <c r="CN537" s="17">
        <v>91.399402750000007</v>
      </c>
      <c r="CO537" s="4" t="s">
        <v>1</v>
      </c>
      <c r="CP537" s="4" t="s">
        <v>1</v>
      </c>
      <c r="CQ537" s="4" t="s">
        <v>1</v>
      </c>
      <c r="CR537" s="4" t="s">
        <v>1</v>
      </c>
      <c r="CS537" s="4" t="s">
        <v>1</v>
      </c>
      <c r="CT537" s="4" t="s">
        <v>1</v>
      </c>
      <c r="CU537" s="4" t="s">
        <v>1</v>
      </c>
      <c r="CV537" t="s">
        <v>855</v>
      </c>
      <c r="CW537">
        <v>100</v>
      </c>
      <c r="CX537">
        <v>0</v>
      </c>
      <c r="CY537">
        <v>30</v>
      </c>
      <c r="CZ537" s="26" t="s">
        <v>1358</v>
      </c>
      <c r="DA537" t="s">
        <v>734</v>
      </c>
      <c r="DB537">
        <v>62</v>
      </c>
      <c r="DC537">
        <v>0</v>
      </c>
      <c r="DD537">
        <v>30</v>
      </c>
      <c r="DE537" s="26" t="s">
        <v>1358</v>
      </c>
      <c r="DF537" t="s">
        <v>735</v>
      </c>
      <c r="DG537">
        <v>18.5</v>
      </c>
      <c r="DH537">
        <v>0</v>
      </c>
      <c r="DI537">
        <v>30</v>
      </c>
      <c r="DJ537" s="26" t="s">
        <v>1358</v>
      </c>
      <c r="DK537" t="s">
        <v>736</v>
      </c>
      <c r="DL537">
        <v>19.5</v>
      </c>
      <c r="DM537">
        <v>0</v>
      </c>
      <c r="DN537">
        <v>30</v>
      </c>
      <c r="DO537" s="26" t="s">
        <v>1358</v>
      </c>
      <c r="DP537" t="s">
        <v>6</v>
      </c>
      <c r="DQ537" t="s">
        <v>1</v>
      </c>
      <c r="DR537">
        <v>7</v>
      </c>
      <c r="DS537">
        <v>0</v>
      </c>
      <c r="DT537">
        <v>30</v>
      </c>
      <c r="DU537" s="26" t="s">
        <v>1358</v>
      </c>
      <c r="EA537" t="s">
        <v>982</v>
      </c>
      <c r="EB537">
        <v>2.9</v>
      </c>
      <c r="EC537">
        <v>0</v>
      </c>
      <c r="ED537">
        <v>30</v>
      </c>
      <c r="EE537" s="26" t="s">
        <v>1358</v>
      </c>
      <c r="EF537" s="26"/>
      <c r="FZ537" t="s">
        <v>806</v>
      </c>
      <c r="GA537">
        <v>7.8</v>
      </c>
      <c r="GE537" s="26" t="s">
        <v>1358</v>
      </c>
      <c r="HA537" s="5" t="s">
        <v>1069</v>
      </c>
      <c r="HB537" s="4">
        <v>6.15</v>
      </c>
      <c r="HC537">
        <v>0</v>
      </c>
      <c r="HD537">
        <v>30</v>
      </c>
      <c r="HE537" s="26" t="s">
        <v>1358</v>
      </c>
      <c r="HF537" s="5" t="s">
        <v>1</v>
      </c>
      <c r="HG537" s="4" t="s">
        <v>1</v>
      </c>
      <c r="HH537" t="s">
        <v>1</v>
      </c>
      <c r="HI537" t="s">
        <v>1</v>
      </c>
      <c r="HJ537" t="s">
        <v>1</v>
      </c>
      <c r="HK537" t="s">
        <v>815</v>
      </c>
      <c r="HL537">
        <v>1.4449999999999998</v>
      </c>
      <c r="HM537">
        <v>0</v>
      </c>
      <c r="HN537">
        <v>30</v>
      </c>
      <c r="HO537" t="s">
        <v>1</v>
      </c>
      <c r="HP537" s="26" t="s">
        <v>1358</v>
      </c>
      <c r="HZ537" t="s">
        <v>969</v>
      </c>
      <c r="IA537">
        <v>150</v>
      </c>
      <c r="IB537" s="10" t="s">
        <v>1</v>
      </c>
      <c r="IC537" s="10"/>
      <c r="ID537" s="10"/>
      <c r="IE537" s="10" t="s">
        <v>1</v>
      </c>
      <c r="IF537" s="10" t="s">
        <v>1</v>
      </c>
      <c r="IG537" s="10"/>
      <c r="IH537" s="10"/>
      <c r="II537" s="10"/>
      <c r="IJ537" s="10"/>
      <c r="IK537" s="10"/>
      <c r="IL537" s="10"/>
      <c r="IM537" s="10"/>
      <c r="IN537" s="10"/>
      <c r="IO537" s="10"/>
      <c r="IP537" s="10"/>
      <c r="IQ537" s="10"/>
      <c r="IR537" s="10"/>
      <c r="IS537" t="s">
        <v>1</v>
      </c>
      <c r="IT537" t="s">
        <v>1</v>
      </c>
      <c r="IW537" t="s">
        <v>1</v>
      </c>
      <c r="IX537" t="s">
        <v>1</v>
      </c>
      <c r="IY537" t="s">
        <v>808</v>
      </c>
      <c r="IZ537">
        <v>9255</v>
      </c>
      <c r="JA537" t="s">
        <v>1</v>
      </c>
      <c r="JB537" s="3" t="s">
        <v>1</v>
      </c>
      <c r="JC537" t="s">
        <v>1</v>
      </c>
      <c r="JD537" s="4" t="s">
        <v>1</v>
      </c>
      <c r="JE537" t="s">
        <v>810</v>
      </c>
      <c r="JF537">
        <v>100</v>
      </c>
      <c r="JR537" t="s">
        <v>1066</v>
      </c>
      <c r="JS537">
        <v>202.8</v>
      </c>
      <c r="JU537" t="s">
        <v>1</v>
      </c>
      <c r="JW537" t="s">
        <v>1</v>
      </c>
      <c r="JX537">
        <v>0</v>
      </c>
      <c r="JY537">
        <v>80</v>
      </c>
      <c r="JZ537" t="s">
        <v>800</v>
      </c>
      <c r="KA537" t="s">
        <v>432</v>
      </c>
      <c r="KB537" t="s">
        <v>738</v>
      </c>
      <c r="KC537" t="s">
        <v>1</v>
      </c>
      <c r="KD537" t="s">
        <v>1</v>
      </c>
      <c r="KE537" t="s">
        <v>1</v>
      </c>
      <c r="KF537" t="s">
        <v>1</v>
      </c>
      <c r="KG537" t="s">
        <v>1</v>
      </c>
      <c r="KH537" t="s">
        <v>1</v>
      </c>
      <c r="KI537" t="s">
        <v>1</v>
      </c>
      <c r="KJ537" t="s">
        <v>1</v>
      </c>
      <c r="KK537" t="s">
        <v>1</v>
      </c>
    </row>
    <row r="538" spans="1:297" x14ac:dyDescent="0.2">
      <c r="A538">
        <v>506</v>
      </c>
      <c r="B538" t="s">
        <v>705</v>
      </c>
      <c r="C538" t="s">
        <v>624</v>
      </c>
      <c r="D538" t="s">
        <v>616</v>
      </c>
      <c r="E538">
        <v>85</v>
      </c>
      <c r="F538" t="s">
        <v>617</v>
      </c>
      <c r="G538" t="s">
        <v>1</v>
      </c>
      <c r="H538" s="26" t="s">
        <v>1420</v>
      </c>
      <c r="I538" t="s">
        <v>1</v>
      </c>
      <c r="J538" t="s">
        <v>1</v>
      </c>
      <c r="K538" t="s">
        <v>1</v>
      </c>
      <c r="L538" t="s">
        <v>1</v>
      </c>
      <c r="M538" t="s">
        <v>1</v>
      </c>
      <c r="N538" t="s">
        <v>1</v>
      </c>
      <c r="O538" t="s">
        <v>1</v>
      </c>
      <c r="P538" t="s">
        <v>1</v>
      </c>
      <c r="Q538" t="s">
        <v>1</v>
      </c>
      <c r="R538" t="s">
        <v>1</v>
      </c>
      <c r="S538" t="s">
        <v>1</v>
      </c>
      <c r="T538" t="s">
        <v>1</v>
      </c>
      <c r="U538" t="s">
        <v>1</v>
      </c>
      <c r="V538" t="s">
        <v>1</v>
      </c>
      <c r="W538" t="s">
        <v>1</v>
      </c>
      <c r="X538" t="s">
        <v>1</v>
      </c>
      <c r="Y538" t="s">
        <v>1</v>
      </c>
      <c r="Z538" t="s">
        <v>1</v>
      </c>
      <c r="AA538" t="s">
        <v>1</v>
      </c>
      <c r="AB538" t="s">
        <v>1</v>
      </c>
      <c r="AC538" t="s">
        <v>1</v>
      </c>
      <c r="AD538" t="s">
        <v>1</v>
      </c>
      <c r="AE538" t="s">
        <v>1</v>
      </c>
      <c r="AF538" t="s">
        <v>1</v>
      </c>
      <c r="AG538" t="s">
        <v>1</v>
      </c>
      <c r="AH538" t="s">
        <v>1</v>
      </c>
      <c r="AI538" t="s">
        <v>1</v>
      </c>
      <c r="AJ538" t="s">
        <v>1</v>
      </c>
      <c r="AK538" t="s">
        <v>1</v>
      </c>
      <c r="AL538" t="s">
        <v>1</v>
      </c>
      <c r="AM538" t="s">
        <v>1</v>
      </c>
      <c r="AN538">
        <v>506</v>
      </c>
      <c r="AO538">
        <f t="shared" si="69"/>
        <v>506</v>
      </c>
      <c r="AP538">
        <f t="shared" si="72"/>
        <v>85</v>
      </c>
      <c r="AQ538">
        <f t="shared" si="71"/>
        <v>85</v>
      </c>
      <c r="AR538" s="26" t="s">
        <v>1355</v>
      </c>
      <c r="AS538" s="26" t="s">
        <v>1356</v>
      </c>
      <c r="AT538" t="s">
        <v>723</v>
      </c>
      <c r="AU538" t="s">
        <v>1</v>
      </c>
      <c r="AV538" t="s">
        <v>1</v>
      </c>
      <c r="AW538">
        <v>35.68</v>
      </c>
      <c r="AX538">
        <v>51.32</v>
      </c>
      <c r="AY538" t="s">
        <v>737</v>
      </c>
      <c r="BA538" s="3">
        <v>8</v>
      </c>
      <c r="BB538" s="3"/>
      <c r="BC538" s="3"/>
      <c r="BD538" s="3"/>
      <c r="BE538" s="3"/>
      <c r="BF538">
        <v>2012</v>
      </c>
      <c r="BG538" s="24" t="s">
        <v>733</v>
      </c>
      <c r="BH538" s="24" t="s">
        <v>733</v>
      </c>
      <c r="BI538" s="24" t="s">
        <v>733</v>
      </c>
      <c r="BJ538" s="24" t="s">
        <v>732</v>
      </c>
      <c r="BK538" s="24" t="s">
        <v>733</v>
      </c>
      <c r="BL538" s="25" t="s">
        <v>733</v>
      </c>
      <c r="BM538" s="24" t="s">
        <v>733</v>
      </c>
      <c r="BN538" s="24" t="s">
        <v>732</v>
      </c>
      <c r="BO538" s="24" t="s">
        <v>733</v>
      </c>
      <c r="BP538" s="24" t="s">
        <v>733</v>
      </c>
      <c r="BQ538" s="24" t="s">
        <v>945</v>
      </c>
      <c r="BR538" s="24" t="s">
        <v>945</v>
      </c>
      <c r="BS538" s="25" t="s">
        <v>934</v>
      </c>
      <c r="BT538" s="24" t="s">
        <v>934</v>
      </c>
      <c r="BU538" s="24" t="s">
        <v>934</v>
      </c>
      <c r="BV538" s="24" t="s">
        <v>934</v>
      </c>
      <c r="BW538" s="24" t="s">
        <v>934</v>
      </c>
      <c r="BX538" s="24" t="s">
        <v>934</v>
      </c>
      <c r="BY538" s="25" t="s">
        <v>945</v>
      </c>
      <c r="BZ538" t="s">
        <v>5</v>
      </c>
      <c r="CB538" t="s">
        <v>1</v>
      </c>
      <c r="CC538" s="4">
        <f>AVERAGE(3331,3368)*90%</f>
        <v>3014.55</v>
      </c>
      <c r="CD538" s="4"/>
      <c r="CE538" s="4"/>
      <c r="CF538" t="s">
        <v>793</v>
      </c>
      <c r="CG538">
        <v>100</v>
      </c>
      <c r="CH538" t="s">
        <v>805</v>
      </c>
      <c r="CI538" s="28">
        <v>1</v>
      </c>
      <c r="CJ538" s="10" t="s">
        <v>1442</v>
      </c>
      <c r="CK538" t="s">
        <v>807</v>
      </c>
      <c r="CL538" s="4">
        <f>AVERAGE(11328.5,10690.5)-3014.55</f>
        <v>7994.95</v>
      </c>
      <c r="CM538" t="s">
        <v>847</v>
      </c>
      <c r="CN538" s="17">
        <v>158.37603074999998</v>
      </c>
      <c r="CO538" s="4" t="s">
        <v>1</v>
      </c>
      <c r="CP538" s="4" t="s">
        <v>1</v>
      </c>
      <c r="CQ538" s="4" t="s">
        <v>1</v>
      </c>
      <c r="CR538" s="4" t="s">
        <v>1</v>
      </c>
      <c r="CS538" s="4" t="s">
        <v>1</v>
      </c>
      <c r="CT538" s="4" t="s">
        <v>1</v>
      </c>
      <c r="CU538" s="4" t="s">
        <v>1</v>
      </c>
      <c r="CV538" t="s">
        <v>855</v>
      </c>
      <c r="CW538">
        <v>100</v>
      </c>
      <c r="CX538">
        <v>0</v>
      </c>
      <c r="CY538">
        <v>30</v>
      </c>
      <c r="CZ538" s="26" t="s">
        <v>1358</v>
      </c>
      <c r="DA538" t="s">
        <v>734</v>
      </c>
      <c r="DB538">
        <v>62</v>
      </c>
      <c r="DC538">
        <v>0</v>
      </c>
      <c r="DD538">
        <v>30</v>
      </c>
      <c r="DE538" s="26" t="s">
        <v>1358</v>
      </c>
      <c r="DF538" t="s">
        <v>735</v>
      </c>
      <c r="DG538">
        <v>18.5</v>
      </c>
      <c r="DH538">
        <v>0</v>
      </c>
      <c r="DI538">
        <v>30</v>
      </c>
      <c r="DJ538" s="26" t="s">
        <v>1358</v>
      </c>
      <c r="DK538" t="s">
        <v>736</v>
      </c>
      <c r="DL538">
        <v>19.5</v>
      </c>
      <c r="DM538">
        <v>0</v>
      </c>
      <c r="DN538">
        <v>30</v>
      </c>
      <c r="DO538" s="26" t="s">
        <v>1358</v>
      </c>
      <c r="DP538" t="s">
        <v>6</v>
      </c>
      <c r="DQ538" t="s">
        <v>1</v>
      </c>
      <c r="DR538">
        <v>7</v>
      </c>
      <c r="DS538">
        <v>0</v>
      </c>
      <c r="DT538">
        <v>30</v>
      </c>
      <c r="DU538" s="26" t="s">
        <v>1358</v>
      </c>
      <c r="EA538" t="s">
        <v>982</v>
      </c>
      <c r="EB538">
        <v>2.9</v>
      </c>
      <c r="EC538">
        <v>0</v>
      </c>
      <c r="ED538">
        <v>30</v>
      </c>
      <c r="EE538" s="26" t="s">
        <v>1358</v>
      </c>
      <c r="EF538" s="26"/>
      <c r="FZ538" t="s">
        <v>806</v>
      </c>
      <c r="GA538">
        <v>7.8</v>
      </c>
      <c r="GE538" s="26" t="s">
        <v>1358</v>
      </c>
      <c r="HA538" s="5" t="s">
        <v>1069</v>
      </c>
      <c r="HB538" s="4">
        <v>6.15</v>
      </c>
      <c r="HC538">
        <v>0</v>
      </c>
      <c r="HD538">
        <v>30</v>
      </c>
      <c r="HE538" s="26" t="s">
        <v>1358</v>
      </c>
      <c r="HF538" s="5" t="s">
        <v>1</v>
      </c>
      <c r="HG538" s="4" t="s">
        <v>1</v>
      </c>
      <c r="HH538" t="s">
        <v>1</v>
      </c>
      <c r="HI538" t="s">
        <v>1</v>
      </c>
      <c r="HJ538" t="s">
        <v>1</v>
      </c>
      <c r="HK538" t="s">
        <v>815</v>
      </c>
      <c r="HL538">
        <v>1.4449999999999998</v>
      </c>
      <c r="HM538">
        <v>0</v>
      </c>
      <c r="HN538">
        <v>30</v>
      </c>
      <c r="HO538" t="s">
        <v>1</v>
      </c>
      <c r="HP538" s="26" t="s">
        <v>1358</v>
      </c>
      <c r="HZ538" t="s">
        <v>969</v>
      </c>
      <c r="IA538">
        <v>300</v>
      </c>
      <c r="IB538" s="10" t="s">
        <v>1</v>
      </c>
      <c r="IC538" s="10"/>
      <c r="ID538" s="10"/>
      <c r="IE538" s="10" t="s">
        <v>1</v>
      </c>
      <c r="IF538" s="10" t="s">
        <v>1</v>
      </c>
      <c r="IG538" s="10"/>
      <c r="IH538" s="10"/>
      <c r="II538" s="10"/>
      <c r="IJ538" s="10"/>
      <c r="IK538" s="10"/>
      <c r="IL538" s="10"/>
      <c r="IM538" s="10"/>
      <c r="IN538" s="10"/>
      <c r="IO538" s="10"/>
      <c r="IP538" s="10"/>
      <c r="IQ538" s="10"/>
      <c r="IR538" s="10"/>
      <c r="IS538" t="s">
        <v>1</v>
      </c>
      <c r="IT538" t="s">
        <v>1</v>
      </c>
      <c r="IW538" t="s">
        <v>1</v>
      </c>
      <c r="IX538" t="s">
        <v>1</v>
      </c>
      <c r="IY538" t="s">
        <v>808</v>
      </c>
      <c r="IZ538">
        <v>9255</v>
      </c>
      <c r="JA538" t="s">
        <v>1</v>
      </c>
      <c r="JB538" s="3" t="s">
        <v>1</v>
      </c>
      <c r="JC538" t="s">
        <v>1</v>
      </c>
      <c r="JD538" s="4" t="s">
        <v>1</v>
      </c>
      <c r="JE538" t="s">
        <v>810</v>
      </c>
      <c r="JF538">
        <v>100</v>
      </c>
      <c r="JR538" t="s">
        <v>1066</v>
      </c>
      <c r="JS538">
        <v>429</v>
      </c>
      <c r="JU538" t="s">
        <v>1</v>
      </c>
      <c r="JW538" t="s">
        <v>1</v>
      </c>
      <c r="JX538">
        <v>0</v>
      </c>
      <c r="JY538">
        <v>80</v>
      </c>
      <c r="JZ538" t="s">
        <v>800</v>
      </c>
      <c r="KA538" t="s">
        <v>432</v>
      </c>
      <c r="KB538" t="s">
        <v>738</v>
      </c>
      <c r="KC538" t="s">
        <v>1</v>
      </c>
      <c r="KD538" t="s">
        <v>1</v>
      </c>
      <c r="KE538" t="s">
        <v>1</v>
      </c>
      <c r="KF538" t="s">
        <v>1</v>
      </c>
      <c r="KG538" t="s">
        <v>1</v>
      </c>
      <c r="KH538" t="s">
        <v>1</v>
      </c>
      <c r="KI538" t="s">
        <v>1</v>
      </c>
      <c r="KJ538" t="s">
        <v>1</v>
      </c>
      <c r="KK538" t="s">
        <v>1</v>
      </c>
    </row>
    <row r="539" spans="1:297" x14ac:dyDescent="0.2">
      <c r="A539">
        <v>507</v>
      </c>
      <c r="B539" t="s">
        <v>705</v>
      </c>
      <c r="C539" t="s">
        <v>625</v>
      </c>
      <c r="D539" t="s">
        <v>616</v>
      </c>
      <c r="E539">
        <v>85</v>
      </c>
      <c r="F539" t="s">
        <v>617</v>
      </c>
      <c r="G539" t="s">
        <v>1</v>
      </c>
      <c r="H539" s="26" t="s">
        <v>1420</v>
      </c>
      <c r="I539" t="s">
        <v>1</v>
      </c>
      <c r="J539" t="s">
        <v>1</v>
      </c>
      <c r="K539" t="s">
        <v>1</v>
      </c>
      <c r="L539" t="s">
        <v>1</v>
      </c>
      <c r="M539" t="s">
        <v>1</v>
      </c>
      <c r="N539" t="s">
        <v>1</v>
      </c>
      <c r="O539" t="s">
        <v>1</v>
      </c>
      <c r="P539" t="s">
        <v>1</v>
      </c>
      <c r="Q539" t="s">
        <v>1</v>
      </c>
      <c r="R539" t="s">
        <v>1</v>
      </c>
      <c r="S539" t="s">
        <v>1</v>
      </c>
      <c r="T539" t="s">
        <v>1</v>
      </c>
      <c r="U539" t="s">
        <v>1</v>
      </c>
      <c r="V539" t="s">
        <v>1</v>
      </c>
      <c r="W539" t="s">
        <v>1</v>
      </c>
      <c r="X539" t="s">
        <v>1</v>
      </c>
      <c r="Y539" t="s">
        <v>1</v>
      </c>
      <c r="Z539" t="s">
        <v>1</v>
      </c>
      <c r="AA539" t="s">
        <v>1</v>
      </c>
      <c r="AB539" t="s">
        <v>1</v>
      </c>
      <c r="AC539" t="s">
        <v>1</v>
      </c>
      <c r="AD539" t="s">
        <v>1</v>
      </c>
      <c r="AE539" t="s">
        <v>1</v>
      </c>
      <c r="AF539" t="s">
        <v>1</v>
      </c>
      <c r="AG539" t="s">
        <v>1</v>
      </c>
      <c r="AH539" t="s">
        <v>1</v>
      </c>
      <c r="AI539" t="s">
        <v>1</v>
      </c>
      <c r="AJ539" t="s">
        <v>1</v>
      </c>
      <c r="AK539" t="s">
        <v>1</v>
      </c>
      <c r="AL539" t="s">
        <v>1</v>
      </c>
      <c r="AM539" t="s">
        <v>1</v>
      </c>
      <c r="AN539">
        <v>507</v>
      </c>
      <c r="AO539">
        <f t="shared" si="69"/>
        <v>507</v>
      </c>
      <c r="AP539">
        <f t="shared" si="72"/>
        <v>85</v>
      </c>
      <c r="AQ539">
        <f t="shared" si="71"/>
        <v>85</v>
      </c>
      <c r="AR539" s="26" t="s">
        <v>1355</v>
      </c>
      <c r="AS539" s="26" t="s">
        <v>1356</v>
      </c>
      <c r="AT539" t="s">
        <v>723</v>
      </c>
      <c r="AU539" t="s">
        <v>1</v>
      </c>
      <c r="AV539" t="s">
        <v>1</v>
      </c>
      <c r="AW539">
        <v>35.68</v>
      </c>
      <c r="AX539">
        <v>51.32</v>
      </c>
      <c r="AY539" t="s">
        <v>737</v>
      </c>
      <c r="BA539" s="3">
        <v>8</v>
      </c>
      <c r="BB539" s="3"/>
      <c r="BC539" s="3"/>
      <c r="BD539" s="3"/>
      <c r="BE539" s="3"/>
      <c r="BF539">
        <v>2012</v>
      </c>
      <c r="BG539" s="24" t="s">
        <v>733</v>
      </c>
      <c r="BH539" s="24" t="s">
        <v>733</v>
      </c>
      <c r="BI539" s="24" t="s">
        <v>733</v>
      </c>
      <c r="BJ539" s="24" t="s">
        <v>732</v>
      </c>
      <c r="BK539" s="24" t="s">
        <v>733</v>
      </c>
      <c r="BL539" s="25" t="s">
        <v>733</v>
      </c>
      <c r="BM539" s="24" t="s">
        <v>733</v>
      </c>
      <c r="BN539" s="24" t="s">
        <v>732</v>
      </c>
      <c r="BO539" s="24" t="s">
        <v>733</v>
      </c>
      <c r="BP539" s="24" t="s">
        <v>733</v>
      </c>
      <c r="BQ539" s="24" t="s">
        <v>945</v>
      </c>
      <c r="BR539" s="24" t="s">
        <v>945</v>
      </c>
      <c r="BS539" s="25" t="s">
        <v>934</v>
      </c>
      <c r="BT539" s="24" t="s">
        <v>934</v>
      </c>
      <c r="BU539" s="24" t="s">
        <v>934</v>
      </c>
      <c r="BV539" s="24" t="s">
        <v>934</v>
      </c>
      <c r="BW539" s="24" t="s">
        <v>934</v>
      </c>
      <c r="BX539" s="24" t="s">
        <v>934</v>
      </c>
      <c r="BY539" s="25" t="s">
        <v>945</v>
      </c>
      <c r="BZ539" t="s">
        <v>5</v>
      </c>
      <c r="CB539" t="s">
        <v>1</v>
      </c>
      <c r="CC539" s="4">
        <f>AVERAGE(3456,3634)*90%</f>
        <v>3190.5</v>
      </c>
      <c r="CD539" s="4"/>
      <c r="CE539" s="4"/>
      <c r="CF539" t="s">
        <v>793</v>
      </c>
      <c r="CG539">
        <v>100</v>
      </c>
      <c r="CH539" t="s">
        <v>805</v>
      </c>
      <c r="CI539" s="28">
        <v>1</v>
      </c>
      <c r="CJ539" s="10" t="s">
        <v>1442</v>
      </c>
      <c r="CK539" t="s">
        <v>807</v>
      </c>
      <c r="CL539" s="4">
        <f>AVERAGE(13109,11495)-3190.5</f>
        <v>9111.5</v>
      </c>
      <c r="CM539" t="s">
        <v>847</v>
      </c>
      <c r="CN539" s="17">
        <v>188.33219100000002</v>
      </c>
      <c r="CO539" s="4" t="s">
        <v>1</v>
      </c>
      <c r="CP539" s="4" t="s">
        <v>1</v>
      </c>
      <c r="CQ539" s="4" t="s">
        <v>1</v>
      </c>
      <c r="CR539" s="4" t="s">
        <v>1</v>
      </c>
      <c r="CS539" s="4" t="s">
        <v>1</v>
      </c>
      <c r="CT539" s="4" t="s">
        <v>1</v>
      </c>
      <c r="CU539" s="4" t="s">
        <v>1</v>
      </c>
      <c r="CV539" t="s">
        <v>855</v>
      </c>
      <c r="CW539">
        <v>100</v>
      </c>
      <c r="CX539">
        <v>0</v>
      </c>
      <c r="CY539">
        <v>30</v>
      </c>
      <c r="CZ539" s="26" t="s">
        <v>1358</v>
      </c>
      <c r="DA539" t="s">
        <v>734</v>
      </c>
      <c r="DB539">
        <v>62</v>
      </c>
      <c r="DC539">
        <v>0</v>
      </c>
      <c r="DD539">
        <v>30</v>
      </c>
      <c r="DE539" s="26" t="s">
        <v>1358</v>
      </c>
      <c r="DF539" t="s">
        <v>735</v>
      </c>
      <c r="DG539">
        <v>18.5</v>
      </c>
      <c r="DH539">
        <v>0</v>
      </c>
      <c r="DI539">
        <v>30</v>
      </c>
      <c r="DJ539" s="26" t="s">
        <v>1358</v>
      </c>
      <c r="DK539" t="s">
        <v>736</v>
      </c>
      <c r="DL539">
        <v>19.5</v>
      </c>
      <c r="DM539">
        <v>0</v>
      </c>
      <c r="DN539">
        <v>30</v>
      </c>
      <c r="DO539" s="26" t="s">
        <v>1358</v>
      </c>
      <c r="DP539" t="s">
        <v>6</v>
      </c>
      <c r="DQ539" t="s">
        <v>1</v>
      </c>
      <c r="DR539">
        <v>7</v>
      </c>
      <c r="DS539">
        <v>0</v>
      </c>
      <c r="DT539">
        <v>30</v>
      </c>
      <c r="DU539" s="26" t="s">
        <v>1358</v>
      </c>
      <c r="EA539" t="s">
        <v>982</v>
      </c>
      <c r="EB539">
        <v>2.9</v>
      </c>
      <c r="EC539">
        <v>0</v>
      </c>
      <c r="ED539">
        <v>30</v>
      </c>
      <c r="EE539" s="26" t="s">
        <v>1358</v>
      </c>
      <c r="EF539" s="26"/>
      <c r="FZ539" t="s">
        <v>806</v>
      </c>
      <c r="GA539">
        <v>7.8</v>
      </c>
      <c r="GE539" s="26" t="s">
        <v>1358</v>
      </c>
      <c r="HA539" s="5" t="s">
        <v>1069</v>
      </c>
      <c r="HB539" s="4">
        <v>6.15</v>
      </c>
      <c r="HC539">
        <v>0</v>
      </c>
      <c r="HD539">
        <v>30</v>
      </c>
      <c r="HE539" s="26" t="s">
        <v>1358</v>
      </c>
      <c r="HF539" s="5" t="s">
        <v>1</v>
      </c>
      <c r="HG539" s="4" t="s">
        <v>1</v>
      </c>
      <c r="HH539" t="s">
        <v>1</v>
      </c>
      <c r="HI539" t="s">
        <v>1</v>
      </c>
      <c r="HJ539" t="s">
        <v>1</v>
      </c>
      <c r="HK539" t="s">
        <v>815</v>
      </c>
      <c r="HL539">
        <v>1.4449999999999998</v>
      </c>
      <c r="HM539">
        <v>0</v>
      </c>
      <c r="HN539">
        <v>30</v>
      </c>
      <c r="HO539" t="s">
        <v>1</v>
      </c>
      <c r="HP539" s="26" t="s">
        <v>1358</v>
      </c>
      <c r="HZ539" t="s">
        <v>969</v>
      </c>
      <c r="IA539">
        <v>450</v>
      </c>
      <c r="IB539" s="10" t="s">
        <v>1</v>
      </c>
      <c r="IC539" s="10"/>
      <c r="ID539" s="10"/>
      <c r="IE539" s="10" t="s">
        <v>1</v>
      </c>
      <c r="IF539" s="10" t="s">
        <v>1</v>
      </c>
      <c r="IG539" s="10"/>
      <c r="IH539" s="10"/>
      <c r="II539" s="10"/>
      <c r="IJ539" s="10"/>
      <c r="IK539" s="10"/>
      <c r="IL539" s="10"/>
      <c r="IM539" s="10"/>
      <c r="IN539" s="10"/>
      <c r="IO539" s="10"/>
      <c r="IP539" s="10"/>
      <c r="IQ539" s="10"/>
      <c r="IR539" s="10"/>
      <c r="IS539" t="s">
        <v>1</v>
      </c>
      <c r="IT539" t="s">
        <v>1</v>
      </c>
      <c r="IW539" t="s">
        <v>1</v>
      </c>
      <c r="IX539" t="s">
        <v>1</v>
      </c>
      <c r="IY539" t="s">
        <v>808</v>
      </c>
      <c r="IZ539">
        <v>9255</v>
      </c>
      <c r="JA539" t="s">
        <v>1</v>
      </c>
      <c r="JB539" s="3" t="s">
        <v>1</v>
      </c>
      <c r="JC539" t="s">
        <v>1</v>
      </c>
      <c r="JD539" s="4" t="s">
        <v>1</v>
      </c>
      <c r="JE539" t="s">
        <v>810</v>
      </c>
      <c r="JF539">
        <v>100</v>
      </c>
      <c r="JR539" t="s">
        <v>1066</v>
      </c>
      <c r="JS539">
        <v>724.2</v>
      </c>
      <c r="JU539" t="s">
        <v>1</v>
      </c>
      <c r="JW539" t="s">
        <v>1</v>
      </c>
      <c r="JX539">
        <v>0</v>
      </c>
      <c r="JY539">
        <v>80</v>
      </c>
      <c r="JZ539" t="s">
        <v>800</v>
      </c>
      <c r="KA539" t="s">
        <v>432</v>
      </c>
      <c r="KB539" t="s">
        <v>738</v>
      </c>
      <c r="KC539" t="s">
        <v>1</v>
      </c>
      <c r="KD539" t="s">
        <v>1</v>
      </c>
      <c r="KE539" t="s">
        <v>1</v>
      </c>
      <c r="KF539" t="s">
        <v>1</v>
      </c>
      <c r="KG539" t="s">
        <v>1</v>
      </c>
      <c r="KH539" t="s">
        <v>1</v>
      </c>
      <c r="KI539" t="s">
        <v>1</v>
      </c>
      <c r="KJ539" t="s">
        <v>1</v>
      </c>
      <c r="KK539" t="s">
        <v>1</v>
      </c>
    </row>
    <row r="540" spans="1:297" x14ac:dyDescent="0.2">
      <c r="A540">
        <v>508</v>
      </c>
      <c r="B540" t="s">
        <v>705</v>
      </c>
      <c r="C540" t="s">
        <v>628</v>
      </c>
      <c r="D540" t="s">
        <v>626</v>
      </c>
      <c r="E540">
        <v>86</v>
      </c>
      <c r="F540" t="s">
        <v>627</v>
      </c>
      <c r="G540" t="s">
        <v>1</v>
      </c>
      <c r="H540" s="26" t="s">
        <v>1420</v>
      </c>
      <c r="I540" t="s">
        <v>1</v>
      </c>
      <c r="J540" t="s">
        <v>1</v>
      </c>
      <c r="K540" t="s">
        <v>1</v>
      </c>
      <c r="L540" t="s">
        <v>1</v>
      </c>
      <c r="M540" t="s">
        <v>1</v>
      </c>
      <c r="N540" t="s">
        <v>1</v>
      </c>
      <c r="O540" t="s">
        <v>1</v>
      </c>
      <c r="P540" t="s">
        <v>1</v>
      </c>
      <c r="Q540" t="s">
        <v>1</v>
      </c>
      <c r="R540" t="s">
        <v>1</v>
      </c>
      <c r="S540" t="s">
        <v>1</v>
      </c>
      <c r="T540" t="s">
        <v>1</v>
      </c>
      <c r="U540" t="s">
        <v>1</v>
      </c>
      <c r="V540" t="s">
        <v>1</v>
      </c>
      <c r="W540" t="s">
        <v>1</v>
      </c>
      <c r="X540" t="s">
        <v>1</v>
      </c>
      <c r="Y540" t="s">
        <v>1</v>
      </c>
      <c r="Z540" t="s">
        <v>1</v>
      </c>
      <c r="AA540" t="s">
        <v>1</v>
      </c>
      <c r="AB540" t="s">
        <v>1</v>
      </c>
      <c r="AC540" t="s">
        <v>1</v>
      </c>
      <c r="AD540" t="s">
        <v>1</v>
      </c>
      <c r="AE540" t="s">
        <v>1</v>
      </c>
      <c r="AF540" t="s">
        <v>1</v>
      </c>
      <c r="AG540" t="s">
        <v>1</v>
      </c>
      <c r="AH540" t="s">
        <v>1</v>
      </c>
      <c r="AI540" t="s">
        <v>1</v>
      </c>
      <c r="AJ540" t="s">
        <v>1</v>
      </c>
      <c r="AK540" t="s">
        <v>1</v>
      </c>
      <c r="AL540" t="s">
        <v>1</v>
      </c>
      <c r="AM540" t="s">
        <v>1</v>
      </c>
      <c r="AN540">
        <v>508</v>
      </c>
      <c r="AO540">
        <f t="shared" si="69"/>
        <v>508</v>
      </c>
      <c r="AP540">
        <f t="shared" si="72"/>
        <v>86</v>
      </c>
      <c r="AQ540">
        <f t="shared" si="71"/>
        <v>86</v>
      </c>
      <c r="AR540" s="26" t="s">
        <v>1355</v>
      </c>
      <c r="AS540" s="26" t="s">
        <v>1356</v>
      </c>
      <c r="AT540" t="s">
        <v>710</v>
      </c>
      <c r="AU540" t="s">
        <v>1</v>
      </c>
      <c r="AV540" t="s">
        <v>1</v>
      </c>
      <c r="AW540">
        <v>28.26</v>
      </c>
      <c r="AX540">
        <v>116.93</v>
      </c>
      <c r="AY540" t="s">
        <v>737</v>
      </c>
      <c r="BA540" s="3">
        <v>3</v>
      </c>
      <c r="BB540" s="3"/>
      <c r="BC540" s="3"/>
      <c r="BD540" s="3"/>
      <c r="BE540" s="3"/>
      <c r="BF540">
        <v>2009</v>
      </c>
      <c r="BG540" s="24" t="s">
        <v>733</v>
      </c>
      <c r="BH540" s="24" t="s">
        <v>733</v>
      </c>
      <c r="BI540" s="24" t="s">
        <v>733</v>
      </c>
      <c r="BJ540" s="24" t="s">
        <v>732</v>
      </c>
      <c r="BK540" s="24" t="s">
        <v>733</v>
      </c>
      <c r="BL540" s="25" t="s">
        <v>733</v>
      </c>
      <c r="BM540" s="24" t="s">
        <v>733</v>
      </c>
      <c r="BN540" s="24" t="s">
        <v>732</v>
      </c>
      <c r="BO540" s="24" t="s">
        <v>733</v>
      </c>
      <c r="BP540" s="24" t="s">
        <v>733</v>
      </c>
      <c r="BQ540" s="24" t="s">
        <v>945</v>
      </c>
      <c r="BR540" s="24" t="s">
        <v>945</v>
      </c>
      <c r="BS540" s="25" t="s">
        <v>934</v>
      </c>
      <c r="BT540" s="24" t="s">
        <v>934</v>
      </c>
      <c r="BU540" s="24" t="s">
        <v>934</v>
      </c>
      <c r="BV540" s="24" t="s">
        <v>934</v>
      </c>
      <c r="BW540" s="24" t="s">
        <v>934</v>
      </c>
      <c r="BX540" s="24" t="s">
        <v>934</v>
      </c>
      <c r="BY540" s="25" t="s">
        <v>945</v>
      </c>
      <c r="BZ540" t="s">
        <v>5</v>
      </c>
      <c r="CB540" t="s">
        <v>1</v>
      </c>
      <c r="CC540" s="4">
        <v>0</v>
      </c>
      <c r="CD540" s="4"/>
      <c r="CE540" s="4"/>
      <c r="CF540" t="s">
        <v>793</v>
      </c>
      <c r="CG540">
        <v>100</v>
      </c>
      <c r="CH540" t="s">
        <v>805</v>
      </c>
      <c r="CI540" s="28">
        <v>1.5</v>
      </c>
      <c r="CJ540" s="10" t="s">
        <v>1442</v>
      </c>
      <c r="CK540" s="9" t="s">
        <v>1</v>
      </c>
      <c r="CL540" s="4" t="s">
        <v>1</v>
      </c>
      <c r="CM540" s="4" t="s">
        <v>1</v>
      </c>
      <c r="CN540" s="4" t="s">
        <v>1</v>
      </c>
      <c r="CO540" s="4" t="s">
        <v>1</v>
      </c>
      <c r="CP540" s="4" t="s">
        <v>1</v>
      </c>
      <c r="CQ540" s="4" t="s">
        <v>1</v>
      </c>
      <c r="CR540" s="4" t="s">
        <v>1</v>
      </c>
      <c r="CS540" s="4" t="s">
        <v>1</v>
      </c>
      <c r="CT540" s="4" t="s">
        <v>1</v>
      </c>
      <c r="CU540" s="4" t="s">
        <v>1</v>
      </c>
      <c r="CV540" t="s">
        <v>1</v>
      </c>
      <c r="CW540" t="s">
        <v>1</v>
      </c>
      <c r="CX540" t="s">
        <v>1</v>
      </c>
      <c r="CY540" t="s">
        <v>1</v>
      </c>
      <c r="CZ540" t="s">
        <v>1</v>
      </c>
      <c r="DA540" t="s">
        <v>734</v>
      </c>
      <c r="DB540">
        <v>17.7</v>
      </c>
      <c r="DC540">
        <v>0</v>
      </c>
      <c r="DD540">
        <v>30</v>
      </c>
      <c r="DE540" s="26" t="s">
        <v>1358</v>
      </c>
      <c r="DF540" t="s">
        <v>735</v>
      </c>
      <c r="DG540">
        <v>35.5</v>
      </c>
      <c r="DH540">
        <v>0</v>
      </c>
      <c r="DI540">
        <v>30</v>
      </c>
      <c r="DJ540" s="26" t="s">
        <v>1358</v>
      </c>
      <c r="DK540" t="s">
        <v>736</v>
      </c>
      <c r="DL540">
        <v>46.8</v>
      </c>
      <c r="DM540">
        <v>0</v>
      </c>
      <c r="DN540">
        <v>30</v>
      </c>
      <c r="DO540" s="26" t="s">
        <v>1358</v>
      </c>
      <c r="DP540" t="s">
        <v>6</v>
      </c>
      <c r="DQ540" t="s">
        <v>813</v>
      </c>
      <c r="DR540">
        <v>5</v>
      </c>
      <c r="DS540">
        <v>0</v>
      </c>
      <c r="DT540">
        <v>30</v>
      </c>
      <c r="DU540" s="26" t="s">
        <v>1358</v>
      </c>
      <c r="EA540" t="s">
        <v>982</v>
      </c>
      <c r="EB540">
        <v>3.3000000000000003</v>
      </c>
      <c r="EC540">
        <v>0</v>
      </c>
      <c r="ED540">
        <v>30</v>
      </c>
      <c r="EE540" s="26" t="s">
        <v>1358</v>
      </c>
      <c r="EF540" s="26"/>
      <c r="FZ540" t="s">
        <v>806</v>
      </c>
      <c r="GA540">
        <v>1505.25</v>
      </c>
      <c r="GE540" s="26" t="s">
        <v>1358</v>
      </c>
      <c r="HA540" s="5" t="s">
        <v>1069</v>
      </c>
      <c r="HB540" s="4">
        <v>10.75</v>
      </c>
      <c r="HC540">
        <v>0</v>
      </c>
      <c r="HD540">
        <v>30</v>
      </c>
      <c r="HE540" s="26" t="s">
        <v>1358</v>
      </c>
      <c r="HF540" s="5" t="s">
        <v>1063</v>
      </c>
      <c r="HG540" s="4">
        <v>0.47499999999999998</v>
      </c>
      <c r="HH540">
        <v>0</v>
      </c>
      <c r="HI540">
        <v>30</v>
      </c>
      <c r="HJ540" s="26" t="s">
        <v>1358</v>
      </c>
      <c r="HK540" t="s">
        <v>815</v>
      </c>
      <c r="HL540" s="34">
        <v>1.1660000000000001</v>
      </c>
      <c r="HM540">
        <v>0</v>
      </c>
      <c r="HN540">
        <v>30</v>
      </c>
      <c r="HO540" t="s">
        <v>1</v>
      </c>
      <c r="HP540" s="26" t="s">
        <v>1358</v>
      </c>
      <c r="HZ540" t="s">
        <v>1</v>
      </c>
      <c r="IA540" t="s">
        <v>1</v>
      </c>
      <c r="IB540" s="10" t="s">
        <v>1</v>
      </c>
      <c r="IC540" s="10"/>
      <c r="ID540" s="10"/>
      <c r="IE540" s="10" t="s">
        <v>1</v>
      </c>
      <c r="IF540" s="10" t="s">
        <v>1</v>
      </c>
      <c r="IG540" s="10"/>
      <c r="IH540" s="10"/>
      <c r="II540" s="10"/>
      <c r="IJ540" s="10"/>
      <c r="IK540" s="10"/>
      <c r="IL540" s="10"/>
      <c r="IM540" s="10"/>
      <c r="IN540" s="10"/>
      <c r="IO540" s="10"/>
      <c r="IP540" s="10"/>
      <c r="IQ540" s="10"/>
      <c r="IR540" s="10"/>
      <c r="IS540" t="s">
        <v>1</v>
      </c>
      <c r="IT540" t="s">
        <v>1</v>
      </c>
      <c r="IW540" t="s">
        <v>1</v>
      </c>
      <c r="IX540" t="s">
        <v>1</v>
      </c>
      <c r="IY540" t="s">
        <v>1</v>
      </c>
      <c r="IZ540" t="s">
        <v>1</v>
      </c>
      <c r="JA540" t="s">
        <v>1</v>
      </c>
      <c r="JB540" s="3" t="s">
        <v>1</v>
      </c>
      <c r="JC540" t="s">
        <v>1</v>
      </c>
      <c r="JD540" s="4" t="s">
        <v>1</v>
      </c>
      <c r="JE540" t="s">
        <v>810</v>
      </c>
      <c r="JF540">
        <v>100</v>
      </c>
      <c r="JR540" t="s">
        <v>1066</v>
      </c>
      <c r="JS540">
        <v>141.69999999999999</v>
      </c>
      <c r="JU540" t="s">
        <v>1</v>
      </c>
      <c r="JW540" t="s">
        <v>1</v>
      </c>
      <c r="JX540">
        <v>0</v>
      </c>
      <c r="JY540">
        <v>150</v>
      </c>
      <c r="JZ540" t="s">
        <v>795</v>
      </c>
      <c r="KA540" t="s">
        <v>629</v>
      </c>
      <c r="KB540" t="s">
        <v>738</v>
      </c>
      <c r="KC540" t="s">
        <v>1</v>
      </c>
      <c r="KD540" t="s">
        <v>1</v>
      </c>
      <c r="KE540" t="s">
        <v>1</v>
      </c>
      <c r="KF540" t="s">
        <v>1</v>
      </c>
      <c r="KG540" t="s">
        <v>1</v>
      </c>
      <c r="KH540" t="s">
        <v>1</v>
      </c>
      <c r="KI540" t="s">
        <v>1</v>
      </c>
      <c r="KJ540" t="s">
        <v>1</v>
      </c>
      <c r="KK540" t="s">
        <v>1</v>
      </c>
    </row>
    <row r="541" spans="1:297" x14ac:dyDescent="0.2">
      <c r="A541">
        <v>509</v>
      </c>
      <c r="B541" t="s">
        <v>705</v>
      </c>
      <c r="C541" t="s">
        <v>630</v>
      </c>
      <c r="D541" t="s">
        <v>626</v>
      </c>
      <c r="E541">
        <v>86</v>
      </c>
      <c r="F541" t="s">
        <v>627</v>
      </c>
      <c r="G541" t="s">
        <v>1</v>
      </c>
      <c r="H541" s="26" t="s">
        <v>1420</v>
      </c>
      <c r="I541" t="s">
        <v>1</v>
      </c>
      <c r="J541" t="s">
        <v>1</v>
      </c>
      <c r="K541" t="s">
        <v>1</v>
      </c>
      <c r="L541" t="s">
        <v>1</v>
      </c>
      <c r="M541" t="s">
        <v>1</v>
      </c>
      <c r="N541" t="s">
        <v>1</v>
      </c>
      <c r="O541" t="s">
        <v>1</v>
      </c>
      <c r="P541" t="s">
        <v>1</v>
      </c>
      <c r="Q541" t="s">
        <v>1</v>
      </c>
      <c r="R541" t="s">
        <v>1</v>
      </c>
      <c r="S541" t="s">
        <v>1</v>
      </c>
      <c r="T541" t="s">
        <v>1</v>
      </c>
      <c r="U541" t="s">
        <v>1</v>
      </c>
      <c r="V541" t="s">
        <v>1</v>
      </c>
      <c r="W541" t="s">
        <v>1</v>
      </c>
      <c r="X541" t="s">
        <v>1</v>
      </c>
      <c r="Y541" t="s">
        <v>1</v>
      </c>
      <c r="Z541" t="s">
        <v>1</v>
      </c>
      <c r="AA541" t="s">
        <v>1</v>
      </c>
      <c r="AB541" t="s">
        <v>1</v>
      </c>
      <c r="AC541" t="s">
        <v>1</v>
      </c>
      <c r="AD541" t="s">
        <v>1</v>
      </c>
      <c r="AE541" t="s">
        <v>1</v>
      </c>
      <c r="AF541" t="s">
        <v>1</v>
      </c>
      <c r="AG541" t="s">
        <v>1</v>
      </c>
      <c r="AH541" t="s">
        <v>1</v>
      </c>
      <c r="AI541" t="s">
        <v>1</v>
      </c>
      <c r="AJ541" t="s">
        <v>1</v>
      </c>
      <c r="AK541" t="s">
        <v>1</v>
      </c>
      <c r="AL541" t="s">
        <v>1</v>
      </c>
      <c r="AM541" t="s">
        <v>1</v>
      </c>
      <c r="AN541">
        <v>509</v>
      </c>
      <c r="AO541">
        <f t="shared" si="69"/>
        <v>509</v>
      </c>
      <c r="AP541">
        <f t="shared" si="72"/>
        <v>86</v>
      </c>
      <c r="AQ541">
        <f t="shared" si="71"/>
        <v>86</v>
      </c>
      <c r="AR541" s="26" t="s">
        <v>1355</v>
      </c>
      <c r="AS541" s="26" t="s">
        <v>1356</v>
      </c>
      <c r="AT541" t="s">
        <v>710</v>
      </c>
      <c r="AU541" t="s">
        <v>1</v>
      </c>
      <c r="AV541" t="s">
        <v>1</v>
      </c>
      <c r="AW541">
        <v>28.26</v>
      </c>
      <c r="AX541">
        <v>116.93</v>
      </c>
      <c r="AY541" t="s">
        <v>737</v>
      </c>
      <c r="BA541" s="3">
        <v>3</v>
      </c>
      <c r="BB541" s="3"/>
      <c r="BC541" s="3"/>
      <c r="BD541" s="3"/>
      <c r="BE541" s="3"/>
      <c r="BF541">
        <v>2009</v>
      </c>
      <c r="BG541" s="24" t="s">
        <v>733</v>
      </c>
      <c r="BH541" s="24" t="s">
        <v>733</v>
      </c>
      <c r="BI541" s="24" t="s">
        <v>733</v>
      </c>
      <c r="BJ541" s="24" t="s">
        <v>732</v>
      </c>
      <c r="BK541" s="24" t="s">
        <v>733</v>
      </c>
      <c r="BL541" s="25" t="s">
        <v>733</v>
      </c>
      <c r="BM541" s="24" t="s">
        <v>733</v>
      </c>
      <c r="BN541" s="24" t="s">
        <v>732</v>
      </c>
      <c r="BO541" s="24" t="s">
        <v>733</v>
      </c>
      <c r="BP541" s="24" t="s">
        <v>733</v>
      </c>
      <c r="BQ541" s="24" t="s">
        <v>945</v>
      </c>
      <c r="BR541" s="24" t="s">
        <v>945</v>
      </c>
      <c r="BS541" s="25" t="s">
        <v>934</v>
      </c>
      <c r="BT541" s="24" t="s">
        <v>934</v>
      </c>
      <c r="BU541" s="24" t="s">
        <v>934</v>
      </c>
      <c r="BV541" s="24" t="s">
        <v>934</v>
      </c>
      <c r="BW541" s="24" t="s">
        <v>934</v>
      </c>
      <c r="BX541" s="24" t="s">
        <v>934</v>
      </c>
      <c r="BY541" s="25" t="s">
        <v>945</v>
      </c>
      <c r="BZ541" t="s">
        <v>5</v>
      </c>
      <c r="CB541" t="s">
        <v>1</v>
      </c>
      <c r="CC541" s="4">
        <v>3679</v>
      </c>
      <c r="CD541" s="4"/>
      <c r="CE541" s="4"/>
      <c r="CF541" t="s">
        <v>793</v>
      </c>
      <c r="CG541">
        <v>100</v>
      </c>
      <c r="CH541" t="s">
        <v>805</v>
      </c>
      <c r="CI541" s="28">
        <v>1.5</v>
      </c>
      <c r="CJ541" s="10" t="s">
        <v>1442</v>
      </c>
      <c r="CK541" s="9" t="s">
        <v>1</v>
      </c>
      <c r="CL541" s="4" t="s">
        <v>1</v>
      </c>
      <c r="CM541" s="4" t="s">
        <v>1</v>
      </c>
      <c r="CN541" s="4" t="s">
        <v>1</v>
      </c>
      <c r="CO541" s="4" t="s">
        <v>1</v>
      </c>
      <c r="CP541" s="4" t="s">
        <v>1</v>
      </c>
      <c r="CQ541" s="4" t="s">
        <v>1</v>
      </c>
      <c r="CR541" s="4" t="s">
        <v>1</v>
      </c>
      <c r="CS541" s="4" t="s">
        <v>1</v>
      </c>
      <c r="CT541" s="4" t="s">
        <v>1</v>
      </c>
      <c r="CU541" s="4" t="s">
        <v>1</v>
      </c>
      <c r="CV541" t="s">
        <v>1</v>
      </c>
      <c r="CW541" t="s">
        <v>1</v>
      </c>
      <c r="CX541" t="s">
        <v>1</v>
      </c>
      <c r="CY541" t="s">
        <v>1</v>
      </c>
      <c r="CZ541" t="s">
        <v>1</v>
      </c>
      <c r="DA541" t="s">
        <v>734</v>
      </c>
      <c r="DB541">
        <v>17.7</v>
      </c>
      <c r="DC541">
        <v>0</v>
      </c>
      <c r="DD541">
        <v>30</v>
      </c>
      <c r="DE541" s="26" t="s">
        <v>1358</v>
      </c>
      <c r="DF541" t="s">
        <v>735</v>
      </c>
      <c r="DG541">
        <v>35.5</v>
      </c>
      <c r="DH541">
        <v>0</v>
      </c>
      <c r="DI541">
        <v>30</v>
      </c>
      <c r="DJ541" s="26" t="s">
        <v>1358</v>
      </c>
      <c r="DK541" t="s">
        <v>736</v>
      </c>
      <c r="DL541">
        <v>46.8</v>
      </c>
      <c r="DM541">
        <v>0</v>
      </c>
      <c r="DN541">
        <v>30</v>
      </c>
      <c r="DO541" s="26" t="s">
        <v>1358</v>
      </c>
      <c r="DP541" t="s">
        <v>6</v>
      </c>
      <c r="DQ541" t="s">
        <v>813</v>
      </c>
      <c r="DR541">
        <v>5</v>
      </c>
      <c r="DS541">
        <v>0</v>
      </c>
      <c r="DT541">
        <v>30</v>
      </c>
      <c r="DU541" s="26" t="s">
        <v>1358</v>
      </c>
      <c r="EA541" t="s">
        <v>982</v>
      </c>
      <c r="EB541">
        <v>3.3000000000000003</v>
      </c>
      <c r="EC541">
        <v>0</v>
      </c>
      <c r="ED541">
        <v>30</v>
      </c>
      <c r="EE541" s="26" t="s">
        <v>1358</v>
      </c>
      <c r="EF541" s="26"/>
      <c r="FZ541" t="s">
        <v>806</v>
      </c>
      <c r="GA541">
        <v>1505.25</v>
      </c>
      <c r="GE541" s="26" t="s">
        <v>1358</v>
      </c>
      <c r="HA541" s="5" t="s">
        <v>1069</v>
      </c>
      <c r="HB541" s="4">
        <v>10.75</v>
      </c>
      <c r="HC541">
        <v>0</v>
      </c>
      <c r="HD541">
        <v>30</v>
      </c>
      <c r="HE541" s="26" t="s">
        <v>1358</v>
      </c>
      <c r="HF541" s="5" t="s">
        <v>1063</v>
      </c>
      <c r="HG541" s="4">
        <v>0.47499999999999998</v>
      </c>
      <c r="HH541">
        <v>0</v>
      </c>
      <c r="HI541">
        <v>30</v>
      </c>
      <c r="HJ541" s="26" t="s">
        <v>1358</v>
      </c>
      <c r="HK541" t="s">
        <v>815</v>
      </c>
      <c r="HL541" s="34">
        <v>1.1660000000000001</v>
      </c>
      <c r="HM541">
        <v>0</v>
      </c>
      <c r="HN541">
        <v>30</v>
      </c>
      <c r="HO541" t="s">
        <v>1</v>
      </c>
      <c r="HP541" s="26" t="s">
        <v>1358</v>
      </c>
      <c r="HZ541" t="s">
        <v>1</v>
      </c>
      <c r="IA541" t="s">
        <v>1</v>
      </c>
      <c r="IB541" s="10" t="s">
        <v>1</v>
      </c>
      <c r="IC541" s="10"/>
      <c r="ID541" s="10"/>
      <c r="IE541" s="10" t="s">
        <v>1</v>
      </c>
      <c r="IF541" s="10" t="s">
        <v>1</v>
      </c>
      <c r="IG541" s="10"/>
      <c r="IH541" s="10"/>
      <c r="II541" s="10"/>
      <c r="IJ541" s="10"/>
      <c r="IK541" s="10"/>
      <c r="IL541" s="10"/>
      <c r="IM541" s="10"/>
      <c r="IN541" s="10"/>
      <c r="IO541" s="10"/>
      <c r="IP541" s="10"/>
      <c r="IQ541" s="10"/>
      <c r="IR541" s="10"/>
      <c r="IS541" t="s">
        <v>978</v>
      </c>
      <c r="IT541">
        <v>150</v>
      </c>
      <c r="IW541" t="s">
        <v>1</v>
      </c>
      <c r="IX541" t="s">
        <v>1</v>
      </c>
      <c r="IY541" t="s">
        <v>1</v>
      </c>
      <c r="IZ541" t="s">
        <v>1</v>
      </c>
      <c r="JA541" t="s">
        <v>1</v>
      </c>
      <c r="JB541" s="3" t="s">
        <v>1</v>
      </c>
      <c r="JC541" t="s">
        <v>1</v>
      </c>
      <c r="JD541" s="4" t="s">
        <v>1</v>
      </c>
      <c r="JE541" t="s">
        <v>810</v>
      </c>
      <c r="JF541">
        <v>100</v>
      </c>
      <c r="JR541" t="s">
        <v>1066</v>
      </c>
      <c r="JS541">
        <v>141.69999999999999</v>
      </c>
      <c r="JU541" t="s">
        <v>1</v>
      </c>
      <c r="JW541" t="s">
        <v>1</v>
      </c>
      <c r="JX541">
        <v>0</v>
      </c>
      <c r="JY541">
        <v>150</v>
      </c>
      <c r="JZ541" t="s">
        <v>795</v>
      </c>
      <c r="KA541" t="s">
        <v>629</v>
      </c>
      <c r="KB541" t="s">
        <v>738</v>
      </c>
      <c r="KC541" t="s">
        <v>1</v>
      </c>
      <c r="KD541" t="s">
        <v>1</v>
      </c>
      <c r="KE541" t="s">
        <v>1</v>
      </c>
      <c r="KF541" t="s">
        <v>1</v>
      </c>
      <c r="KG541" t="s">
        <v>1</v>
      </c>
      <c r="KH541" t="s">
        <v>1</v>
      </c>
      <c r="KI541" t="s">
        <v>1</v>
      </c>
      <c r="KJ541" t="s">
        <v>1</v>
      </c>
      <c r="KK541" t="s">
        <v>1</v>
      </c>
    </row>
    <row r="542" spans="1:297" x14ac:dyDescent="0.2">
      <c r="A542">
        <v>510</v>
      </c>
      <c r="B542" t="s">
        <v>705</v>
      </c>
      <c r="C542" t="s">
        <v>631</v>
      </c>
      <c r="D542" t="s">
        <v>626</v>
      </c>
      <c r="E542">
        <v>86</v>
      </c>
      <c r="F542" t="s">
        <v>627</v>
      </c>
      <c r="G542" t="s">
        <v>1</v>
      </c>
      <c r="H542" s="26" t="s">
        <v>1420</v>
      </c>
      <c r="I542" t="s">
        <v>1</v>
      </c>
      <c r="J542" t="s">
        <v>1</v>
      </c>
      <c r="K542" t="s">
        <v>1</v>
      </c>
      <c r="L542" t="s">
        <v>1</v>
      </c>
      <c r="M542" t="s">
        <v>1</v>
      </c>
      <c r="N542" t="s">
        <v>1</v>
      </c>
      <c r="O542" t="s">
        <v>1</v>
      </c>
      <c r="P542" t="s">
        <v>1</v>
      </c>
      <c r="Q542" t="s">
        <v>1</v>
      </c>
      <c r="R542" t="s">
        <v>1</v>
      </c>
      <c r="S542" t="s">
        <v>1</v>
      </c>
      <c r="T542" t="s">
        <v>1</v>
      </c>
      <c r="U542" t="s">
        <v>1</v>
      </c>
      <c r="V542" t="s">
        <v>1</v>
      </c>
      <c r="W542" t="s">
        <v>1</v>
      </c>
      <c r="X542" t="s">
        <v>1</v>
      </c>
      <c r="Y542" t="s">
        <v>1</v>
      </c>
      <c r="Z542" t="s">
        <v>1</v>
      </c>
      <c r="AA542" t="s">
        <v>1</v>
      </c>
      <c r="AB542" t="s">
        <v>1</v>
      </c>
      <c r="AC542" t="s">
        <v>1</v>
      </c>
      <c r="AD542" t="s">
        <v>1</v>
      </c>
      <c r="AE542" t="s">
        <v>1</v>
      </c>
      <c r="AF542" t="s">
        <v>1</v>
      </c>
      <c r="AG542" t="s">
        <v>1</v>
      </c>
      <c r="AH542" t="s">
        <v>1</v>
      </c>
      <c r="AI542" t="s">
        <v>1</v>
      </c>
      <c r="AJ542" t="s">
        <v>1</v>
      </c>
      <c r="AK542" t="s">
        <v>1</v>
      </c>
      <c r="AL542" t="s">
        <v>1</v>
      </c>
      <c r="AM542" t="s">
        <v>1</v>
      </c>
      <c r="AN542">
        <v>510</v>
      </c>
      <c r="AO542">
        <f t="shared" si="69"/>
        <v>510</v>
      </c>
      <c r="AP542">
        <f t="shared" si="72"/>
        <v>86</v>
      </c>
      <c r="AQ542">
        <f t="shared" si="71"/>
        <v>86</v>
      </c>
      <c r="AR542" s="26" t="s">
        <v>1355</v>
      </c>
      <c r="AS542" s="26" t="s">
        <v>1356</v>
      </c>
      <c r="AT542" t="s">
        <v>710</v>
      </c>
      <c r="AU542" t="s">
        <v>1</v>
      </c>
      <c r="AV542" t="s">
        <v>1</v>
      </c>
      <c r="AW542">
        <v>28.26</v>
      </c>
      <c r="AX542">
        <v>116.93</v>
      </c>
      <c r="AY542" t="s">
        <v>737</v>
      </c>
      <c r="BA542" s="3">
        <v>3</v>
      </c>
      <c r="BB542" s="3"/>
      <c r="BC542" s="3"/>
      <c r="BD542" s="3"/>
      <c r="BE542" s="3"/>
      <c r="BF542">
        <v>2009</v>
      </c>
      <c r="BG542" s="24" t="s">
        <v>733</v>
      </c>
      <c r="BH542" s="24" t="s">
        <v>733</v>
      </c>
      <c r="BI542" s="24" t="s">
        <v>733</v>
      </c>
      <c r="BJ542" s="24" t="s">
        <v>732</v>
      </c>
      <c r="BK542" s="24" t="s">
        <v>733</v>
      </c>
      <c r="BL542" s="25" t="s">
        <v>733</v>
      </c>
      <c r="BM542" s="24" t="s">
        <v>733</v>
      </c>
      <c r="BN542" s="24" t="s">
        <v>732</v>
      </c>
      <c r="BO542" s="24" t="s">
        <v>733</v>
      </c>
      <c r="BP542" s="24" t="s">
        <v>733</v>
      </c>
      <c r="BQ542" s="24" t="s">
        <v>945</v>
      </c>
      <c r="BR542" s="24" t="s">
        <v>945</v>
      </c>
      <c r="BS542" s="25" t="s">
        <v>934</v>
      </c>
      <c r="BT542" s="24" t="s">
        <v>934</v>
      </c>
      <c r="BU542" s="24" t="s">
        <v>934</v>
      </c>
      <c r="BV542" s="24" t="s">
        <v>934</v>
      </c>
      <c r="BW542" s="24" t="s">
        <v>934</v>
      </c>
      <c r="BX542" s="24" t="s">
        <v>934</v>
      </c>
      <c r="BY542" s="25" t="s">
        <v>945</v>
      </c>
      <c r="BZ542" t="s">
        <v>5</v>
      </c>
      <c r="CB542" t="s">
        <v>1</v>
      </c>
      <c r="CC542" s="15">
        <v>6714</v>
      </c>
      <c r="CD542" s="15"/>
      <c r="CE542" s="15"/>
      <c r="CF542" t="s">
        <v>793</v>
      </c>
      <c r="CG542">
        <v>100</v>
      </c>
      <c r="CH542" t="s">
        <v>805</v>
      </c>
      <c r="CI542" s="28">
        <v>1.5</v>
      </c>
      <c r="CJ542" s="10" t="s">
        <v>1442</v>
      </c>
      <c r="CK542" s="9" t="s">
        <v>1</v>
      </c>
      <c r="CL542" s="4" t="s">
        <v>1</v>
      </c>
      <c r="CM542" s="4" t="s">
        <v>1</v>
      </c>
      <c r="CN542" s="4" t="s">
        <v>1</v>
      </c>
      <c r="CO542" s="4" t="s">
        <v>1</v>
      </c>
      <c r="CP542" s="4" t="s">
        <v>1</v>
      </c>
      <c r="CQ542" s="4" t="s">
        <v>1</v>
      </c>
      <c r="CR542" s="4" t="s">
        <v>1</v>
      </c>
      <c r="CS542" s="4" t="s">
        <v>1</v>
      </c>
      <c r="CT542" s="4" t="s">
        <v>1</v>
      </c>
      <c r="CU542" s="4" t="s">
        <v>1</v>
      </c>
      <c r="CV542" t="s">
        <v>1</v>
      </c>
      <c r="CW542" t="s">
        <v>1</v>
      </c>
      <c r="CX542" t="s">
        <v>1</v>
      </c>
      <c r="CY542" t="s">
        <v>1</v>
      </c>
      <c r="CZ542" t="s">
        <v>1</v>
      </c>
      <c r="DA542" t="s">
        <v>734</v>
      </c>
      <c r="DB542">
        <v>17.7</v>
      </c>
      <c r="DC542">
        <v>0</v>
      </c>
      <c r="DD542">
        <v>30</v>
      </c>
      <c r="DE542" s="26" t="s">
        <v>1358</v>
      </c>
      <c r="DF542" t="s">
        <v>735</v>
      </c>
      <c r="DG542">
        <v>35.5</v>
      </c>
      <c r="DH542">
        <v>0</v>
      </c>
      <c r="DI542">
        <v>30</v>
      </c>
      <c r="DJ542" s="26" t="s">
        <v>1358</v>
      </c>
      <c r="DK542" t="s">
        <v>736</v>
      </c>
      <c r="DL542">
        <v>46.8</v>
      </c>
      <c r="DM542">
        <v>0</v>
      </c>
      <c r="DN542">
        <v>30</v>
      </c>
      <c r="DO542" s="26" t="s">
        <v>1358</v>
      </c>
      <c r="DP542" t="s">
        <v>6</v>
      </c>
      <c r="DQ542" t="s">
        <v>813</v>
      </c>
      <c r="DR542">
        <v>5</v>
      </c>
      <c r="DS542">
        <v>0</v>
      </c>
      <c r="DT542">
        <v>30</v>
      </c>
      <c r="DU542" s="26" t="s">
        <v>1358</v>
      </c>
      <c r="EA542" t="s">
        <v>982</v>
      </c>
      <c r="EB542">
        <v>3.3000000000000003</v>
      </c>
      <c r="EC542">
        <v>0</v>
      </c>
      <c r="ED542">
        <v>30</v>
      </c>
      <c r="EE542" s="26" t="s">
        <v>1358</v>
      </c>
      <c r="EF542" s="26"/>
      <c r="FZ542" t="s">
        <v>806</v>
      </c>
      <c r="GA542">
        <v>1505.25</v>
      </c>
      <c r="GE542" s="26" t="s">
        <v>1358</v>
      </c>
      <c r="HA542" s="5" t="s">
        <v>1069</v>
      </c>
      <c r="HB542" s="4">
        <v>10.75</v>
      </c>
      <c r="HC542">
        <v>0</v>
      </c>
      <c r="HD542">
        <v>30</v>
      </c>
      <c r="HE542" s="26" t="s">
        <v>1358</v>
      </c>
      <c r="HF542" s="5" t="s">
        <v>1063</v>
      </c>
      <c r="HG542" s="4">
        <v>0.47499999999999998</v>
      </c>
      <c r="HH542">
        <v>0</v>
      </c>
      <c r="HI542">
        <v>30</v>
      </c>
      <c r="HJ542" s="26" t="s">
        <v>1358</v>
      </c>
      <c r="HK542" t="s">
        <v>815</v>
      </c>
      <c r="HL542" s="34">
        <v>1.1660000000000001</v>
      </c>
      <c r="HM542">
        <v>0</v>
      </c>
      <c r="HN542">
        <v>30</v>
      </c>
      <c r="HO542" t="s">
        <v>1</v>
      </c>
      <c r="HP542" s="26" t="s">
        <v>1358</v>
      </c>
      <c r="HZ542" t="s">
        <v>1</v>
      </c>
      <c r="IA542" t="s">
        <v>1</v>
      </c>
      <c r="IB542" s="10" t="s">
        <v>1</v>
      </c>
      <c r="IC542" s="10"/>
      <c r="ID542" s="10"/>
      <c r="IE542" s="10" t="s">
        <v>1</v>
      </c>
      <c r="IF542" s="10" t="s">
        <v>1</v>
      </c>
      <c r="IG542" s="10"/>
      <c r="IH542" s="10"/>
      <c r="II542" s="10"/>
      <c r="IJ542" s="10"/>
      <c r="IK542" s="10"/>
      <c r="IL542" s="10"/>
      <c r="IM542" s="10"/>
      <c r="IN542" s="10"/>
      <c r="IO542" s="10"/>
      <c r="IP542" s="10"/>
      <c r="IQ542" s="10"/>
      <c r="IR542" s="10"/>
      <c r="IS542" t="s">
        <v>978</v>
      </c>
      <c r="IT542">
        <v>600</v>
      </c>
      <c r="IW542" t="s">
        <v>1</v>
      </c>
      <c r="IX542" t="s">
        <v>1</v>
      </c>
      <c r="IY542" t="s">
        <v>1</v>
      </c>
      <c r="IZ542" t="s">
        <v>1</v>
      </c>
      <c r="JA542" t="s">
        <v>1</v>
      </c>
      <c r="JB542" s="3" t="s">
        <v>1</v>
      </c>
      <c r="JC542" t="s">
        <v>1</v>
      </c>
      <c r="JD542" s="4" t="s">
        <v>1</v>
      </c>
      <c r="JE542" t="s">
        <v>810</v>
      </c>
      <c r="JF542">
        <v>100</v>
      </c>
      <c r="JR542" t="s">
        <v>1066</v>
      </c>
      <c r="JS542">
        <v>363</v>
      </c>
      <c r="JU542" t="s">
        <v>1</v>
      </c>
      <c r="JW542" t="s">
        <v>1</v>
      </c>
      <c r="JX542">
        <v>0</v>
      </c>
      <c r="JY542">
        <v>150</v>
      </c>
      <c r="JZ542" t="s">
        <v>795</v>
      </c>
      <c r="KA542" t="s">
        <v>629</v>
      </c>
      <c r="KB542" t="s">
        <v>738</v>
      </c>
      <c r="KC542" t="s">
        <v>1</v>
      </c>
      <c r="KD542" t="s">
        <v>1</v>
      </c>
      <c r="KE542" t="s">
        <v>1</v>
      </c>
      <c r="KF542" t="s">
        <v>1</v>
      </c>
      <c r="KG542" t="s">
        <v>1</v>
      </c>
      <c r="KH542" t="s">
        <v>1</v>
      </c>
      <c r="KI542" t="s">
        <v>1</v>
      </c>
      <c r="KJ542" t="s">
        <v>1</v>
      </c>
      <c r="KK542" t="s">
        <v>1</v>
      </c>
    </row>
    <row r="543" spans="1:297" x14ac:dyDescent="0.2">
      <c r="A543">
        <v>511</v>
      </c>
      <c r="B543" t="s">
        <v>705</v>
      </c>
      <c r="C543" t="s">
        <v>632</v>
      </c>
      <c r="D543" t="s">
        <v>626</v>
      </c>
      <c r="E543">
        <v>86</v>
      </c>
      <c r="F543" t="s">
        <v>627</v>
      </c>
      <c r="G543" t="s">
        <v>1</v>
      </c>
      <c r="H543" s="26" t="s">
        <v>1420</v>
      </c>
      <c r="I543" t="s">
        <v>1</v>
      </c>
      <c r="J543" t="s">
        <v>1</v>
      </c>
      <c r="K543" t="s">
        <v>1</v>
      </c>
      <c r="L543" t="s">
        <v>1</v>
      </c>
      <c r="M543" t="s">
        <v>1</v>
      </c>
      <c r="N543" t="s">
        <v>1</v>
      </c>
      <c r="O543" t="s">
        <v>1</v>
      </c>
      <c r="P543" t="s">
        <v>1</v>
      </c>
      <c r="Q543" t="s">
        <v>1</v>
      </c>
      <c r="R543" t="s">
        <v>1</v>
      </c>
      <c r="S543" t="s">
        <v>1</v>
      </c>
      <c r="T543" t="s">
        <v>1</v>
      </c>
      <c r="U543" t="s">
        <v>1</v>
      </c>
      <c r="V543" t="s">
        <v>1</v>
      </c>
      <c r="W543" t="s">
        <v>1</v>
      </c>
      <c r="X543" t="s">
        <v>1</v>
      </c>
      <c r="Y543" t="s">
        <v>1</v>
      </c>
      <c r="Z543" t="s">
        <v>1</v>
      </c>
      <c r="AA543" t="s">
        <v>1</v>
      </c>
      <c r="AB543" t="s">
        <v>1</v>
      </c>
      <c r="AC543" t="s">
        <v>1</v>
      </c>
      <c r="AD543" t="s">
        <v>1</v>
      </c>
      <c r="AE543" t="s">
        <v>1</v>
      </c>
      <c r="AF543" t="s">
        <v>1</v>
      </c>
      <c r="AG543" t="s">
        <v>1</v>
      </c>
      <c r="AH543" t="s">
        <v>1</v>
      </c>
      <c r="AI543" t="s">
        <v>1</v>
      </c>
      <c r="AJ543" t="s">
        <v>1</v>
      </c>
      <c r="AK543" t="s">
        <v>1</v>
      </c>
      <c r="AL543" t="s">
        <v>1</v>
      </c>
      <c r="AM543" t="s">
        <v>1</v>
      </c>
      <c r="AN543">
        <v>511</v>
      </c>
      <c r="AO543">
        <f t="shared" si="69"/>
        <v>511</v>
      </c>
      <c r="AP543">
        <f t="shared" si="72"/>
        <v>86</v>
      </c>
      <c r="AQ543">
        <f t="shared" ref="AQ543:AQ574" si="73">E543</f>
        <v>86</v>
      </c>
      <c r="AR543" s="26" t="s">
        <v>1355</v>
      </c>
      <c r="AS543" s="26" t="s">
        <v>1356</v>
      </c>
      <c r="AT543" t="s">
        <v>710</v>
      </c>
      <c r="AU543" t="s">
        <v>1</v>
      </c>
      <c r="AV543" t="s">
        <v>1</v>
      </c>
      <c r="AW543">
        <v>28.26</v>
      </c>
      <c r="AX543">
        <v>116.93</v>
      </c>
      <c r="AY543" t="s">
        <v>737</v>
      </c>
      <c r="BA543" s="3">
        <v>3</v>
      </c>
      <c r="BB543" s="3"/>
      <c r="BC543" s="3"/>
      <c r="BD543" s="3"/>
      <c r="BE543" s="3"/>
      <c r="BF543">
        <v>2009</v>
      </c>
      <c r="BG543" s="24" t="s">
        <v>733</v>
      </c>
      <c r="BH543" s="24" t="s">
        <v>733</v>
      </c>
      <c r="BI543" s="24" t="s">
        <v>733</v>
      </c>
      <c r="BJ543" s="24" t="s">
        <v>732</v>
      </c>
      <c r="BK543" s="24" t="s">
        <v>733</v>
      </c>
      <c r="BL543" s="25" t="s">
        <v>733</v>
      </c>
      <c r="BM543" s="24" t="s">
        <v>733</v>
      </c>
      <c r="BN543" s="24" t="s">
        <v>732</v>
      </c>
      <c r="BO543" s="24" t="s">
        <v>733</v>
      </c>
      <c r="BP543" s="24" t="s">
        <v>733</v>
      </c>
      <c r="BQ543" s="24" t="s">
        <v>945</v>
      </c>
      <c r="BR543" s="24" t="s">
        <v>945</v>
      </c>
      <c r="BS543" s="25" t="s">
        <v>934</v>
      </c>
      <c r="BT543" s="24" t="s">
        <v>934</v>
      </c>
      <c r="BU543" s="24" t="s">
        <v>934</v>
      </c>
      <c r="BV543" s="24" t="s">
        <v>934</v>
      </c>
      <c r="BW543" s="24" t="s">
        <v>934</v>
      </c>
      <c r="BX543" s="24" t="s">
        <v>934</v>
      </c>
      <c r="BY543" s="25" t="s">
        <v>945</v>
      </c>
      <c r="BZ543" t="s">
        <v>5</v>
      </c>
      <c r="CB543" t="s">
        <v>1</v>
      </c>
      <c r="CC543" s="15">
        <v>6714</v>
      </c>
      <c r="CD543" s="15"/>
      <c r="CE543" s="15"/>
      <c r="CF543" t="s">
        <v>793</v>
      </c>
      <c r="CG543">
        <v>100</v>
      </c>
      <c r="CH543" t="s">
        <v>805</v>
      </c>
      <c r="CI543" s="28">
        <v>1.5</v>
      </c>
      <c r="CJ543" s="10" t="s">
        <v>1442</v>
      </c>
      <c r="CK543" s="9" t="s">
        <v>1</v>
      </c>
      <c r="CL543" s="4" t="s">
        <v>1</v>
      </c>
      <c r="CM543" s="4" t="s">
        <v>1</v>
      </c>
      <c r="CN543" s="4" t="s">
        <v>1</v>
      </c>
      <c r="CO543" s="4" t="s">
        <v>1</v>
      </c>
      <c r="CP543" s="4" t="s">
        <v>1</v>
      </c>
      <c r="CQ543" s="4" t="s">
        <v>1</v>
      </c>
      <c r="CR543" s="4" t="s">
        <v>1</v>
      </c>
      <c r="CS543" s="4" t="s">
        <v>1</v>
      </c>
      <c r="CT543" s="4" t="s">
        <v>1</v>
      </c>
      <c r="CU543" s="4" t="s">
        <v>1</v>
      </c>
      <c r="CV543" t="s">
        <v>1</v>
      </c>
      <c r="CW543" t="s">
        <v>1</v>
      </c>
      <c r="CX543" t="s">
        <v>1</v>
      </c>
      <c r="CY543" t="s">
        <v>1</v>
      </c>
      <c r="CZ543" t="s">
        <v>1</v>
      </c>
      <c r="DA543" t="s">
        <v>734</v>
      </c>
      <c r="DB543">
        <v>17.7</v>
      </c>
      <c r="DC543">
        <v>0</v>
      </c>
      <c r="DD543">
        <v>30</v>
      </c>
      <c r="DE543" s="26" t="s">
        <v>1358</v>
      </c>
      <c r="DF543" t="s">
        <v>735</v>
      </c>
      <c r="DG543">
        <v>35.5</v>
      </c>
      <c r="DH543">
        <v>0</v>
      </c>
      <c r="DI543">
        <v>30</v>
      </c>
      <c r="DJ543" s="26" t="s">
        <v>1358</v>
      </c>
      <c r="DK543" t="s">
        <v>736</v>
      </c>
      <c r="DL543">
        <v>46.8</v>
      </c>
      <c r="DM543">
        <v>0</v>
      </c>
      <c r="DN543">
        <v>30</v>
      </c>
      <c r="DO543" s="26" t="s">
        <v>1358</v>
      </c>
      <c r="DP543" t="s">
        <v>6</v>
      </c>
      <c r="DQ543" t="s">
        <v>813</v>
      </c>
      <c r="DR543">
        <v>5</v>
      </c>
      <c r="DS543">
        <v>0</v>
      </c>
      <c r="DT543">
        <v>30</v>
      </c>
      <c r="DU543" s="26" t="s">
        <v>1358</v>
      </c>
      <c r="EA543" t="s">
        <v>982</v>
      </c>
      <c r="EB543">
        <v>3.3000000000000003</v>
      </c>
      <c r="EC543">
        <v>0</v>
      </c>
      <c r="ED543">
        <v>30</v>
      </c>
      <c r="EE543" s="26" t="s">
        <v>1358</v>
      </c>
      <c r="EF543" s="26"/>
      <c r="FZ543" t="s">
        <v>806</v>
      </c>
      <c r="GA543">
        <v>1505.25</v>
      </c>
      <c r="GE543" s="26" t="s">
        <v>1358</v>
      </c>
      <c r="HA543" s="5" t="s">
        <v>1069</v>
      </c>
      <c r="HB543" s="4">
        <v>10.75</v>
      </c>
      <c r="HC543">
        <v>0</v>
      </c>
      <c r="HD543">
        <v>30</v>
      </c>
      <c r="HE543" s="26" t="s">
        <v>1358</v>
      </c>
      <c r="HF543" s="5" t="s">
        <v>1063</v>
      </c>
      <c r="HG543" s="4">
        <v>0.47499999999999998</v>
      </c>
      <c r="HH543">
        <v>0</v>
      </c>
      <c r="HI543">
        <v>30</v>
      </c>
      <c r="HJ543" s="26" t="s">
        <v>1358</v>
      </c>
      <c r="HK543" t="s">
        <v>815</v>
      </c>
      <c r="HL543" s="34">
        <v>1.1660000000000001</v>
      </c>
      <c r="HM543">
        <v>0</v>
      </c>
      <c r="HN543">
        <v>30</v>
      </c>
      <c r="HO543" t="s">
        <v>1</v>
      </c>
      <c r="HP543" s="26" t="s">
        <v>1358</v>
      </c>
      <c r="HZ543" t="s">
        <v>1</v>
      </c>
      <c r="IA543" t="s">
        <v>1</v>
      </c>
      <c r="IB543" s="10" t="s">
        <v>1</v>
      </c>
      <c r="IC543" s="10"/>
      <c r="ID543" s="10"/>
      <c r="IE543" s="10" t="s">
        <v>1</v>
      </c>
      <c r="IF543" s="10" t="s">
        <v>1</v>
      </c>
      <c r="IG543" s="10"/>
      <c r="IH543" s="10"/>
      <c r="II543" s="10"/>
      <c r="IJ543" s="10"/>
      <c r="IK543" s="10"/>
      <c r="IL543" s="10"/>
      <c r="IM543" s="10"/>
      <c r="IN543" s="10"/>
      <c r="IO543" s="10"/>
      <c r="IP543" s="10"/>
      <c r="IQ543" s="10"/>
      <c r="IR543" s="10"/>
      <c r="IS543" t="s">
        <v>978</v>
      </c>
      <c r="IT543">
        <v>600</v>
      </c>
      <c r="IW543" t="s">
        <v>1</v>
      </c>
      <c r="IX543" t="s">
        <v>1</v>
      </c>
      <c r="IY543" t="s">
        <v>1</v>
      </c>
      <c r="IZ543" t="s">
        <v>1</v>
      </c>
      <c r="JA543" t="s">
        <v>1</v>
      </c>
      <c r="JB543" s="3" t="s">
        <v>1</v>
      </c>
      <c r="JC543" t="s">
        <v>1</v>
      </c>
      <c r="JD543" s="4" t="s">
        <v>1</v>
      </c>
      <c r="JE543" t="s">
        <v>810</v>
      </c>
      <c r="JF543">
        <v>100</v>
      </c>
      <c r="JR543" t="s">
        <v>1066</v>
      </c>
      <c r="JS543">
        <v>340.9</v>
      </c>
      <c r="JU543" t="s">
        <v>1</v>
      </c>
      <c r="JW543" t="s">
        <v>1</v>
      </c>
      <c r="JX543">
        <v>0</v>
      </c>
      <c r="JY543">
        <v>150</v>
      </c>
      <c r="JZ543" t="s">
        <v>795</v>
      </c>
      <c r="KA543" t="s">
        <v>629</v>
      </c>
      <c r="KB543" t="s">
        <v>738</v>
      </c>
      <c r="KC543" t="s">
        <v>1</v>
      </c>
      <c r="KD543" t="s">
        <v>1</v>
      </c>
      <c r="KE543" t="s">
        <v>1</v>
      </c>
      <c r="KF543" t="s">
        <v>1</v>
      </c>
      <c r="KG543" t="s">
        <v>1</v>
      </c>
      <c r="KH543" t="s">
        <v>1</v>
      </c>
      <c r="KI543" t="s">
        <v>1</v>
      </c>
      <c r="KJ543" t="s">
        <v>1</v>
      </c>
      <c r="KK543" t="s">
        <v>1</v>
      </c>
    </row>
    <row r="544" spans="1:297" x14ac:dyDescent="0.2">
      <c r="A544">
        <v>512</v>
      </c>
      <c r="B544" t="s">
        <v>705</v>
      </c>
      <c r="C544" t="s">
        <v>635</v>
      </c>
      <c r="D544" t="s">
        <v>633</v>
      </c>
      <c r="E544">
        <v>87</v>
      </c>
      <c r="F544" t="s">
        <v>634</v>
      </c>
      <c r="G544" t="s">
        <v>1</v>
      </c>
      <c r="H544" s="26" t="s">
        <v>1420</v>
      </c>
      <c r="I544" t="s">
        <v>1</v>
      </c>
      <c r="J544" t="s">
        <v>1</v>
      </c>
      <c r="K544" t="s">
        <v>1</v>
      </c>
      <c r="L544" t="s">
        <v>1</v>
      </c>
      <c r="M544" t="s">
        <v>1</v>
      </c>
      <c r="N544" t="s">
        <v>1</v>
      </c>
      <c r="O544" t="s">
        <v>1</v>
      </c>
      <c r="P544" t="s">
        <v>1</v>
      </c>
      <c r="Q544" t="s">
        <v>1</v>
      </c>
      <c r="R544" t="s">
        <v>1</v>
      </c>
      <c r="S544" t="s">
        <v>1</v>
      </c>
      <c r="T544" t="s">
        <v>1</v>
      </c>
      <c r="U544" t="s">
        <v>1</v>
      </c>
      <c r="V544" t="s">
        <v>1</v>
      </c>
      <c r="W544" t="s">
        <v>1</v>
      </c>
      <c r="X544" t="s">
        <v>1</v>
      </c>
      <c r="Y544" t="s">
        <v>1</v>
      </c>
      <c r="Z544" t="s">
        <v>1</v>
      </c>
      <c r="AA544" t="s">
        <v>1</v>
      </c>
      <c r="AB544" t="s">
        <v>1</v>
      </c>
      <c r="AC544" t="s">
        <v>1</v>
      </c>
      <c r="AD544" t="s">
        <v>1</v>
      </c>
      <c r="AE544" t="s">
        <v>1</v>
      </c>
      <c r="AF544" t="s">
        <v>1</v>
      </c>
      <c r="AG544" t="s">
        <v>1</v>
      </c>
      <c r="AH544" t="s">
        <v>1</v>
      </c>
      <c r="AI544" t="s">
        <v>1</v>
      </c>
      <c r="AJ544" t="s">
        <v>1</v>
      </c>
      <c r="AK544" t="s">
        <v>1</v>
      </c>
      <c r="AL544" t="s">
        <v>1</v>
      </c>
      <c r="AM544" t="s">
        <v>1</v>
      </c>
      <c r="AN544">
        <v>512</v>
      </c>
      <c r="AO544">
        <f t="shared" si="69"/>
        <v>512</v>
      </c>
      <c r="AP544">
        <f t="shared" si="72"/>
        <v>87</v>
      </c>
      <c r="AQ544">
        <f t="shared" si="73"/>
        <v>87</v>
      </c>
      <c r="AR544" s="26" t="s">
        <v>1355</v>
      </c>
      <c r="AS544" s="26" t="s">
        <v>1356</v>
      </c>
      <c r="AT544" t="s">
        <v>723</v>
      </c>
      <c r="AU544" t="s">
        <v>792</v>
      </c>
      <c r="AV544" t="s">
        <v>1</v>
      </c>
      <c r="AW544">
        <v>29.6</v>
      </c>
      <c r="AX544">
        <v>52.53</v>
      </c>
      <c r="AY544" t="s">
        <v>737</v>
      </c>
      <c r="BA544" s="3">
        <v>3</v>
      </c>
      <c r="BB544" s="3"/>
      <c r="BC544" s="3"/>
      <c r="BD544" s="3"/>
      <c r="BE544" s="3"/>
      <c r="BF544">
        <v>2009</v>
      </c>
      <c r="BG544" s="24" t="s">
        <v>733</v>
      </c>
      <c r="BH544" s="24" t="s">
        <v>733</v>
      </c>
      <c r="BI544" s="24" t="s">
        <v>733</v>
      </c>
      <c r="BJ544" s="24" t="s">
        <v>732</v>
      </c>
      <c r="BK544" s="24" t="s">
        <v>733</v>
      </c>
      <c r="BL544" s="25" t="s">
        <v>733</v>
      </c>
      <c r="BM544" s="24" t="s">
        <v>733</v>
      </c>
      <c r="BN544" s="24" t="s">
        <v>732</v>
      </c>
      <c r="BO544" s="24" t="s">
        <v>733</v>
      </c>
      <c r="BP544" s="24" t="s">
        <v>733</v>
      </c>
      <c r="BQ544" s="24" t="s">
        <v>945</v>
      </c>
      <c r="BR544" s="24" t="s">
        <v>945</v>
      </c>
      <c r="BS544" s="25" t="s">
        <v>934</v>
      </c>
      <c r="BT544" s="24" t="s">
        <v>934</v>
      </c>
      <c r="BU544" s="24" t="s">
        <v>934</v>
      </c>
      <c r="BV544" s="24" t="s">
        <v>934</v>
      </c>
      <c r="BW544" s="24" t="s">
        <v>934</v>
      </c>
      <c r="BX544" s="24" t="s">
        <v>934</v>
      </c>
      <c r="BY544" s="25" t="s">
        <v>945</v>
      </c>
      <c r="BZ544" t="s">
        <v>1397</v>
      </c>
      <c r="CB544" t="s">
        <v>1395</v>
      </c>
      <c r="CC544" s="34">
        <f>AVERAGE(1889*92%,4326*0.87)</f>
        <v>2750.75</v>
      </c>
      <c r="CD544" s="34"/>
      <c r="CE544" s="34"/>
      <c r="CF544" t="s">
        <v>793</v>
      </c>
      <c r="CG544">
        <v>100</v>
      </c>
      <c r="CH544" t="s">
        <v>805</v>
      </c>
      <c r="CI544" s="28">
        <v>1</v>
      </c>
      <c r="CJ544" s="9" t="s">
        <v>1</v>
      </c>
      <c r="CK544" t="s">
        <v>807</v>
      </c>
      <c r="CL544" s="34">
        <v>2266</v>
      </c>
      <c r="CM544" t="s">
        <v>847</v>
      </c>
      <c r="CN544" s="34">
        <f>AVERAGE(22.6,89.3)</f>
        <v>55.95</v>
      </c>
      <c r="CO544" s="4" t="s">
        <v>1</v>
      </c>
      <c r="CP544" s="4" t="s">
        <v>1</v>
      </c>
      <c r="CQ544" s="4" t="s">
        <v>1</v>
      </c>
      <c r="CR544" s="4" t="s">
        <v>1</v>
      </c>
      <c r="CS544" s="4" t="s">
        <v>1</v>
      </c>
      <c r="CT544" s="4" t="s">
        <v>1</v>
      </c>
      <c r="CU544" s="4" t="s">
        <v>1</v>
      </c>
      <c r="CV544" t="s">
        <v>850</v>
      </c>
      <c r="CW544">
        <v>100</v>
      </c>
      <c r="CX544">
        <v>0</v>
      </c>
      <c r="CY544">
        <v>30</v>
      </c>
      <c r="CZ544" s="26" t="s">
        <v>1358</v>
      </c>
      <c r="DA544" t="s">
        <v>734</v>
      </c>
      <c r="DB544">
        <v>35</v>
      </c>
      <c r="DC544">
        <v>0</v>
      </c>
      <c r="DD544">
        <v>30</v>
      </c>
      <c r="DE544" s="26" t="s">
        <v>1358</v>
      </c>
      <c r="DF544" t="s">
        <v>735</v>
      </c>
      <c r="DG544">
        <v>35</v>
      </c>
      <c r="DH544">
        <v>0</v>
      </c>
      <c r="DI544">
        <v>30</v>
      </c>
      <c r="DJ544" s="26" t="s">
        <v>1358</v>
      </c>
      <c r="DK544" t="s">
        <v>736</v>
      </c>
      <c r="DL544">
        <v>30</v>
      </c>
      <c r="DM544">
        <v>0</v>
      </c>
      <c r="DN544">
        <v>30</v>
      </c>
      <c r="DO544" s="26" t="s">
        <v>1358</v>
      </c>
      <c r="DP544" t="s">
        <v>6</v>
      </c>
      <c r="DQ544" t="s">
        <v>1</v>
      </c>
      <c r="DR544">
        <v>8</v>
      </c>
      <c r="DS544">
        <v>0</v>
      </c>
      <c r="DT544">
        <v>30</v>
      </c>
      <c r="DU544" s="26" t="s">
        <v>1358</v>
      </c>
      <c r="EA544" t="s">
        <v>982</v>
      </c>
      <c r="EB544">
        <v>11.6</v>
      </c>
      <c r="EC544">
        <v>0</v>
      </c>
      <c r="ED544">
        <v>30</v>
      </c>
      <c r="EE544" s="26" t="s">
        <v>1358</v>
      </c>
      <c r="EF544" s="26"/>
      <c r="FZ544" t="s">
        <v>806</v>
      </c>
      <c r="GA544">
        <v>87.5</v>
      </c>
      <c r="GE544" s="26" t="s">
        <v>1358</v>
      </c>
      <c r="HA544" s="5" t="s">
        <v>1069</v>
      </c>
      <c r="HB544" s="4">
        <v>48</v>
      </c>
      <c r="HC544">
        <v>0</v>
      </c>
      <c r="HD544">
        <v>30</v>
      </c>
      <c r="HE544" s="26" t="s">
        <v>1358</v>
      </c>
      <c r="HF544" s="5" t="s">
        <v>1</v>
      </c>
      <c r="HG544" s="4" t="s">
        <v>1</v>
      </c>
      <c r="HH544" t="s">
        <v>1</v>
      </c>
      <c r="HI544" t="s">
        <v>1</v>
      </c>
      <c r="HJ544" t="s">
        <v>1</v>
      </c>
      <c r="HK544" t="s">
        <v>815</v>
      </c>
      <c r="HL544" s="34">
        <v>1.2850000000000001</v>
      </c>
      <c r="HM544">
        <v>0</v>
      </c>
      <c r="HN544">
        <v>30</v>
      </c>
      <c r="HO544" t="s">
        <v>1</v>
      </c>
      <c r="HP544" s="26" t="s">
        <v>1358</v>
      </c>
      <c r="HZ544" t="s">
        <v>1</v>
      </c>
      <c r="IA544" t="s">
        <v>1</v>
      </c>
      <c r="IB544" s="10" t="s">
        <v>1</v>
      </c>
      <c r="IC544" s="10"/>
      <c r="ID544" s="10"/>
      <c r="IE544" s="10" t="s">
        <v>1</v>
      </c>
      <c r="IF544" s="10" t="s">
        <v>1</v>
      </c>
      <c r="IG544" s="10"/>
      <c r="IH544" s="10"/>
      <c r="II544" s="10"/>
      <c r="IJ544" s="10"/>
      <c r="IK544" s="10"/>
      <c r="IL544" s="10"/>
      <c r="IM544" s="10"/>
      <c r="IN544" s="10"/>
      <c r="IO544" s="10"/>
      <c r="IP544" s="10"/>
      <c r="IQ544" s="10"/>
      <c r="IR544" s="10"/>
      <c r="IS544" t="s">
        <v>1</v>
      </c>
      <c r="IT544" t="s">
        <v>1</v>
      </c>
      <c r="IW544" t="s">
        <v>1</v>
      </c>
      <c r="IX544" t="s">
        <v>1</v>
      </c>
      <c r="IY544" t="s">
        <v>808</v>
      </c>
      <c r="IZ544">
        <v>12080</v>
      </c>
      <c r="JA544" t="s">
        <v>1</v>
      </c>
      <c r="JB544" s="3" t="s">
        <v>1</v>
      </c>
      <c r="JC544" t="s">
        <v>1</v>
      </c>
      <c r="JD544" s="4" t="s">
        <v>1</v>
      </c>
      <c r="JE544" t="s">
        <v>810</v>
      </c>
      <c r="JF544">
        <v>100</v>
      </c>
      <c r="JR544" t="s">
        <v>1066</v>
      </c>
      <c r="JS544">
        <v>25.3</v>
      </c>
      <c r="JU544" t="s">
        <v>1</v>
      </c>
      <c r="JW544" t="s">
        <v>1</v>
      </c>
      <c r="JX544">
        <v>0</v>
      </c>
      <c r="JY544">
        <v>100</v>
      </c>
      <c r="JZ544" t="s">
        <v>795</v>
      </c>
      <c r="KA544" t="s">
        <v>636</v>
      </c>
      <c r="KB544" t="s">
        <v>738</v>
      </c>
      <c r="KC544" t="s">
        <v>1</v>
      </c>
      <c r="KD544" t="s">
        <v>1</v>
      </c>
      <c r="KE544" t="s">
        <v>1</v>
      </c>
      <c r="KF544" t="s">
        <v>1</v>
      </c>
      <c r="KG544" t="s">
        <v>1</v>
      </c>
      <c r="KH544" t="s">
        <v>1</v>
      </c>
      <c r="KI544" t="s">
        <v>1</v>
      </c>
      <c r="KJ544" t="s">
        <v>1</v>
      </c>
      <c r="KK544" t="s">
        <v>1</v>
      </c>
    </row>
    <row r="545" spans="1:297" x14ac:dyDescent="0.2">
      <c r="A545">
        <v>513</v>
      </c>
      <c r="B545" t="s">
        <v>705</v>
      </c>
      <c r="C545" t="s">
        <v>637</v>
      </c>
      <c r="D545" t="s">
        <v>633</v>
      </c>
      <c r="E545">
        <v>87</v>
      </c>
      <c r="F545" t="s">
        <v>634</v>
      </c>
      <c r="G545" t="s">
        <v>1</v>
      </c>
      <c r="H545" s="26" t="s">
        <v>1420</v>
      </c>
      <c r="I545" t="s">
        <v>1</v>
      </c>
      <c r="J545" t="s">
        <v>1</v>
      </c>
      <c r="K545" t="s">
        <v>1</v>
      </c>
      <c r="L545" t="s">
        <v>1</v>
      </c>
      <c r="M545" t="s">
        <v>1</v>
      </c>
      <c r="N545" t="s">
        <v>1</v>
      </c>
      <c r="O545" t="s">
        <v>1</v>
      </c>
      <c r="P545" t="s">
        <v>1</v>
      </c>
      <c r="Q545" t="s">
        <v>1</v>
      </c>
      <c r="R545" t="s">
        <v>1</v>
      </c>
      <c r="S545" t="s">
        <v>1</v>
      </c>
      <c r="T545" t="s">
        <v>1</v>
      </c>
      <c r="U545" t="s">
        <v>1</v>
      </c>
      <c r="V545" t="s">
        <v>1</v>
      </c>
      <c r="W545" t="s">
        <v>1</v>
      </c>
      <c r="X545" t="s">
        <v>1</v>
      </c>
      <c r="Y545" t="s">
        <v>1</v>
      </c>
      <c r="Z545" t="s">
        <v>1</v>
      </c>
      <c r="AA545" t="s">
        <v>1</v>
      </c>
      <c r="AB545" t="s">
        <v>1</v>
      </c>
      <c r="AC545" t="s">
        <v>1</v>
      </c>
      <c r="AD545" t="s">
        <v>1</v>
      </c>
      <c r="AE545" t="s">
        <v>1</v>
      </c>
      <c r="AF545" t="s">
        <v>1</v>
      </c>
      <c r="AG545" t="s">
        <v>1</v>
      </c>
      <c r="AH545" t="s">
        <v>1</v>
      </c>
      <c r="AI545" t="s">
        <v>1</v>
      </c>
      <c r="AJ545" t="s">
        <v>1</v>
      </c>
      <c r="AK545" t="s">
        <v>1</v>
      </c>
      <c r="AL545" t="s">
        <v>1</v>
      </c>
      <c r="AM545" t="s">
        <v>1</v>
      </c>
      <c r="AN545">
        <v>513</v>
      </c>
      <c r="AO545">
        <f t="shared" si="69"/>
        <v>513</v>
      </c>
      <c r="AP545">
        <f t="shared" si="72"/>
        <v>87</v>
      </c>
      <c r="AQ545">
        <f t="shared" si="73"/>
        <v>87</v>
      </c>
      <c r="AR545" s="26" t="s">
        <v>1355</v>
      </c>
      <c r="AS545" s="26" t="s">
        <v>1356</v>
      </c>
      <c r="AT545" t="s">
        <v>723</v>
      </c>
      <c r="AU545" t="s">
        <v>792</v>
      </c>
      <c r="AV545" t="s">
        <v>1</v>
      </c>
      <c r="AW545">
        <v>29.6</v>
      </c>
      <c r="AX545">
        <v>52.53</v>
      </c>
      <c r="AY545" t="s">
        <v>737</v>
      </c>
      <c r="BA545" s="3">
        <v>3</v>
      </c>
      <c r="BB545" s="3"/>
      <c r="BC545" s="3"/>
      <c r="BD545" s="3"/>
      <c r="BE545" s="3"/>
      <c r="BF545">
        <v>2009</v>
      </c>
      <c r="BG545" s="24" t="s">
        <v>733</v>
      </c>
      <c r="BH545" s="24" t="s">
        <v>733</v>
      </c>
      <c r="BI545" s="24" t="s">
        <v>733</v>
      </c>
      <c r="BJ545" s="24" t="s">
        <v>732</v>
      </c>
      <c r="BK545" s="24" t="s">
        <v>733</v>
      </c>
      <c r="BL545" s="25" t="s">
        <v>733</v>
      </c>
      <c r="BM545" s="24" t="s">
        <v>733</v>
      </c>
      <c r="BN545" s="24" t="s">
        <v>732</v>
      </c>
      <c r="BO545" s="24" t="s">
        <v>733</v>
      </c>
      <c r="BP545" s="24" t="s">
        <v>733</v>
      </c>
      <c r="BQ545" s="24" t="s">
        <v>945</v>
      </c>
      <c r="BR545" s="24" t="s">
        <v>945</v>
      </c>
      <c r="BS545" s="25" t="s">
        <v>934</v>
      </c>
      <c r="BT545" s="24" t="s">
        <v>934</v>
      </c>
      <c r="BU545" s="24" t="s">
        <v>934</v>
      </c>
      <c r="BV545" s="24" t="s">
        <v>934</v>
      </c>
      <c r="BW545" s="24" t="s">
        <v>934</v>
      </c>
      <c r="BX545" s="24" t="s">
        <v>934</v>
      </c>
      <c r="BY545" s="25" t="s">
        <v>945</v>
      </c>
      <c r="BZ545" t="s">
        <v>1397</v>
      </c>
      <c r="CB545" t="s">
        <v>1395</v>
      </c>
      <c r="CC545" s="34">
        <f>AVERAGE(2208*92%,6969*0.87)</f>
        <v>4047.1949999999997</v>
      </c>
      <c r="CD545" s="34"/>
      <c r="CE545" s="34"/>
      <c r="CF545" t="s">
        <v>793</v>
      </c>
      <c r="CG545">
        <v>100</v>
      </c>
      <c r="CH545" t="s">
        <v>805</v>
      </c>
      <c r="CI545" s="28">
        <v>1</v>
      </c>
      <c r="CJ545" s="9" t="s">
        <v>1</v>
      </c>
      <c r="CK545" t="s">
        <v>807</v>
      </c>
      <c r="CL545" s="34">
        <f>AVERAGE(3110,12672)</f>
        <v>7891</v>
      </c>
      <c r="CM545" t="s">
        <v>847</v>
      </c>
      <c r="CN545" s="34">
        <f>AVERAGE(37.7,157)</f>
        <v>97.35</v>
      </c>
      <c r="CO545" s="4" t="s">
        <v>1</v>
      </c>
      <c r="CP545" s="4" t="s">
        <v>1</v>
      </c>
      <c r="CQ545" s="4" t="s">
        <v>1</v>
      </c>
      <c r="CR545" s="4" t="s">
        <v>1</v>
      </c>
      <c r="CS545" s="4" t="s">
        <v>1</v>
      </c>
      <c r="CT545" s="4" t="s">
        <v>1</v>
      </c>
      <c r="CU545" s="4" t="s">
        <v>1</v>
      </c>
      <c r="CV545" t="s">
        <v>850</v>
      </c>
      <c r="CW545">
        <v>100</v>
      </c>
      <c r="CX545">
        <v>0</v>
      </c>
      <c r="CY545">
        <v>30</v>
      </c>
      <c r="CZ545" s="26" t="s">
        <v>1358</v>
      </c>
      <c r="DA545" t="s">
        <v>734</v>
      </c>
      <c r="DB545">
        <v>35</v>
      </c>
      <c r="DC545">
        <v>0</v>
      </c>
      <c r="DD545">
        <v>30</v>
      </c>
      <c r="DE545" s="26" t="s">
        <v>1358</v>
      </c>
      <c r="DF545" t="s">
        <v>735</v>
      </c>
      <c r="DG545">
        <v>35</v>
      </c>
      <c r="DH545">
        <v>0</v>
      </c>
      <c r="DI545">
        <v>30</v>
      </c>
      <c r="DJ545" s="26" t="s">
        <v>1358</v>
      </c>
      <c r="DK545" t="s">
        <v>736</v>
      </c>
      <c r="DL545">
        <v>30</v>
      </c>
      <c r="DM545">
        <v>0</v>
      </c>
      <c r="DN545">
        <v>30</v>
      </c>
      <c r="DO545" s="26" t="s">
        <v>1358</v>
      </c>
      <c r="DP545" t="s">
        <v>6</v>
      </c>
      <c r="DQ545" t="s">
        <v>1</v>
      </c>
      <c r="DR545">
        <v>8</v>
      </c>
      <c r="DS545">
        <v>0</v>
      </c>
      <c r="DT545">
        <v>30</v>
      </c>
      <c r="DU545" s="26" t="s">
        <v>1358</v>
      </c>
      <c r="EA545" t="s">
        <v>982</v>
      </c>
      <c r="EB545">
        <v>11.6</v>
      </c>
      <c r="EC545">
        <v>0</v>
      </c>
      <c r="ED545">
        <v>30</v>
      </c>
      <c r="EE545" s="26" t="s">
        <v>1358</v>
      </c>
      <c r="EF545" s="26"/>
      <c r="FZ545" t="s">
        <v>806</v>
      </c>
      <c r="GA545">
        <v>87.5</v>
      </c>
      <c r="GE545" s="26" t="s">
        <v>1358</v>
      </c>
      <c r="HA545" s="5" t="s">
        <v>1069</v>
      </c>
      <c r="HB545" s="4">
        <v>48</v>
      </c>
      <c r="HC545">
        <v>0</v>
      </c>
      <c r="HD545">
        <v>30</v>
      </c>
      <c r="HE545" s="26" t="s">
        <v>1358</v>
      </c>
      <c r="HF545" s="5" t="s">
        <v>1</v>
      </c>
      <c r="HG545" s="4" t="s">
        <v>1</v>
      </c>
      <c r="HH545" t="s">
        <v>1</v>
      </c>
      <c r="HI545" t="s">
        <v>1</v>
      </c>
      <c r="HJ545" t="s">
        <v>1</v>
      </c>
      <c r="HK545" t="s">
        <v>815</v>
      </c>
      <c r="HL545" s="34">
        <v>1.2850000000000001</v>
      </c>
      <c r="HM545">
        <v>0</v>
      </c>
      <c r="HN545">
        <v>30</v>
      </c>
      <c r="HO545" t="s">
        <v>1</v>
      </c>
      <c r="HP545" s="26" t="s">
        <v>1358</v>
      </c>
      <c r="HZ545" t="s">
        <v>969</v>
      </c>
      <c r="IA545">
        <v>100</v>
      </c>
      <c r="IB545" s="10" t="s">
        <v>1</v>
      </c>
      <c r="IC545" s="10"/>
      <c r="ID545" s="10"/>
      <c r="IE545" s="10" t="s">
        <v>1</v>
      </c>
      <c r="IF545" s="10" t="s">
        <v>1</v>
      </c>
      <c r="IG545" s="10"/>
      <c r="IH545" s="10"/>
      <c r="II545" s="10"/>
      <c r="IJ545" s="10"/>
      <c r="IK545" s="10"/>
      <c r="IL545" s="10"/>
      <c r="IM545" s="10"/>
      <c r="IN545" s="10"/>
      <c r="IO545" s="10"/>
      <c r="IP545" s="10"/>
      <c r="IQ545" s="10"/>
      <c r="IR545" s="10"/>
      <c r="IS545" t="s">
        <v>1</v>
      </c>
      <c r="IT545" t="s">
        <v>1</v>
      </c>
      <c r="IW545" t="s">
        <v>1</v>
      </c>
      <c r="IX545" t="s">
        <v>1</v>
      </c>
      <c r="IY545" t="s">
        <v>808</v>
      </c>
      <c r="IZ545">
        <v>12080</v>
      </c>
      <c r="JA545" t="s">
        <v>1</v>
      </c>
      <c r="JB545" s="3" t="s">
        <v>1</v>
      </c>
      <c r="JC545" t="s">
        <v>1</v>
      </c>
      <c r="JD545" s="4" t="s">
        <v>1</v>
      </c>
      <c r="JE545" t="s">
        <v>810</v>
      </c>
      <c r="JF545">
        <v>100</v>
      </c>
      <c r="JR545" t="s">
        <v>1066</v>
      </c>
      <c r="JS545">
        <v>30.2</v>
      </c>
      <c r="JU545" t="s">
        <v>1</v>
      </c>
      <c r="JW545" t="s">
        <v>1</v>
      </c>
      <c r="JX545">
        <v>0</v>
      </c>
      <c r="JY545">
        <v>100</v>
      </c>
      <c r="JZ545" t="s">
        <v>795</v>
      </c>
      <c r="KA545" t="s">
        <v>636</v>
      </c>
      <c r="KB545" t="s">
        <v>738</v>
      </c>
      <c r="KC545" t="s">
        <v>1</v>
      </c>
      <c r="KD545" t="s">
        <v>1</v>
      </c>
      <c r="KE545" t="s">
        <v>1</v>
      </c>
      <c r="KF545" t="s">
        <v>1</v>
      </c>
      <c r="KG545" t="s">
        <v>1</v>
      </c>
      <c r="KH545" t="s">
        <v>1</v>
      </c>
      <c r="KI545" t="s">
        <v>1</v>
      </c>
      <c r="KJ545" t="s">
        <v>1</v>
      </c>
      <c r="KK545" t="s">
        <v>1</v>
      </c>
    </row>
    <row r="546" spans="1:297" x14ac:dyDescent="0.2">
      <c r="A546">
        <v>514</v>
      </c>
      <c r="B546" t="s">
        <v>705</v>
      </c>
      <c r="C546" t="s">
        <v>638</v>
      </c>
      <c r="D546" t="s">
        <v>633</v>
      </c>
      <c r="E546">
        <v>87</v>
      </c>
      <c r="F546" t="s">
        <v>634</v>
      </c>
      <c r="G546" t="s">
        <v>1</v>
      </c>
      <c r="H546" s="26" t="s">
        <v>1420</v>
      </c>
      <c r="I546" t="s">
        <v>1</v>
      </c>
      <c r="J546" t="s">
        <v>1</v>
      </c>
      <c r="K546" t="s">
        <v>1</v>
      </c>
      <c r="L546" t="s">
        <v>1</v>
      </c>
      <c r="M546" t="s">
        <v>1</v>
      </c>
      <c r="N546" t="s">
        <v>1</v>
      </c>
      <c r="O546" t="s">
        <v>1</v>
      </c>
      <c r="P546" t="s">
        <v>1</v>
      </c>
      <c r="Q546" t="s">
        <v>1</v>
      </c>
      <c r="R546" t="s">
        <v>1</v>
      </c>
      <c r="S546" t="s">
        <v>1</v>
      </c>
      <c r="T546" t="s">
        <v>1</v>
      </c>
      <c r="U546" t="s">
        <v>1</v>
      </c>
      <c r="V546" t="s">
        <v>1</v>
      </c>
      <c r="W546" t="s">
        <v>1</v>
      </c>
      <c r="X546" t="s">
        <v>1</v>
      </c>
      <c r="Y546" t="s">
        <v>1</v>
      </c>
      <c r="Z546" t="s">
        <v>1</v>
      </c>
      <c r="AA546" t="s">
        <v>1</v>
      </c>
      <c r="AB546" t="s">
        <v>1</v>
      </c>
      <c r="AC546" t="s">
        <v>1</v>
      </c>
      <c r="AD546" t="s">
        <v>1</v>
      </c>
      <c r="AE546" t="s">
        <v>1</v>
      </c>
      <c r="AF546" t="s">
        <v>1</v>
      </c>
      <c r="AG546" t="s">
        <v>1</v>
      </c>
      <c r="AH546" t="s">
        <v>1</v>
      </c>
      <c r="AI546" t="s">
        <v>1</v>
      </c>
      <c r="AJ546" t="s">
        <v>1</v>
      </c>
      <c r="AK546" t="s">
        <v>1</v>
      </c>
      <c r="AL546" t="s">
        <v>1</v>
      </c>
      <c r="AM546" t="s">
        <v>1</v>
      </c>
      <c r="AN546">
        <v>514</v>
      </c>
      <c r="AO546">
        <f t="shared" si="69"/>
        <v>514</v>
      </c>
      <c r="AP546">
        <f t="shared" si="72"/>
        <v>87</v>
      </c>
      <c r="AQ546">
        <f t="shared" si="73"/>
        <v>87</v>
      </c>
      <c r="AR546" s="26" t="s">
        <v>1355</v>
      </c>
      <c r="AS546" s="26" t="s">
        <v>1356</v>
      </c>
      <c r="AT546" t="s">
        <v>723</v>
      </c>
      <c r="AU546" t="s">
        <v>792</v>
      </c>
      <c r="AV546" t="s">
        <v>1</v>
      </c>
      <c r="AW546">
        <v>29.6</v>
      </c>
      <c r="AX546">
        <v>52.53</v>
      </c>
      <c r="AY546" t="s">
        <v>737</v>
      </c>
      <c r="BA546" s="3">
        <v>3</v>
      </c>
      <c r="BB546" s="3"/>
      <c r="BC546" s="3"/>
      <c r="BD546" s="3"/>
      <c r="BE546" s="3"/>
      <c r="BF546">
        <v>2009</v>
      </c>
      <c r="BG546" s="24" t="s">
        <v>733</v>
      </c>
      <c r="BH546" s="24" t="s">
        <v>733</v>
      </c>
      <c r="BI546" s="24" t="s">
        <v>733</v>
      </c>
      <c r="BJ546" s="24" t="s">
        <v>732</v>
      </c>
      <c r="BK546" s="24" t="s">
        <v>733</v>
      </c>
      <c r="BL546" s="25" t="s">
        <v>733</v>
      </c>
      <c r="BM546" s="24" t="s">
        <v>733</v>
      </c>
      <c r="BN546" s="24" t="s">
        <v>732</v>
      </c>
      <c r="BO546" s="24" t="s">
        <v>733</v>
      </c>
      <c r="BP546" s="24" t="s">
        <v>733</v>
      </c>
      <c r="BQ546" s="24" t="s">
        <v>945</v>
      </c>
      <c r="BR546" s="24" t="s">
        <v>945</v>
      </c>
      <c r="BS546" s="25" t="s">
        <v>934</v>
      </c>
      <c r="BT546" s="24" t="s">
        <v>934</v>
      </c>
      <c r="BU546" s="24" t="s">
        <v>934</v>
      </c>
      <c r="BV546" s="24" t="s">
        <v>934</v>
      </c>
      <c r="BW546" s="24" t="s">
        <v>934</v>
      </c>
      <c r="BX546" s="24" t="s">
        <v>934</v>
      </c>
      <c r="BY546" s="25" t="s">
        <v>945</v>
      </c>
      <c r="BZ546" t="s">
        <v>1397</v>
      </c>
      <c r="CB546" t="s">
        <v>1395</v>
      </c>
      <c r="CC546" s="34">
        <f>AVERAGE(3444*92%,10553*0.87)</f>
        <v>6174.7950000000001</v>
      </c>
      <c r="CD546" s="34"/>
      <c r="CE546" s="34"/>
      <c r="CF546" t="s">
        <v>793</v>
      </c>
      <c r="CG546">
        <v>100</v>
      </c>
      <c r="CH546" t="s">
        <v>805</v>
      </c>
      <c r="CI546" s="28">
        <v>1</v>
      </c>
      <c r="CJ546" s="9" t="s">
        <v>1</v>
      </c>
      <c r="CK546" t="s">
        <v>807</v>
      </c>
      <c r="CL546" s="34">
        <f>AVERAGE(4133,17589)</f>
        <v>10861</v>
      </c>
      <c r="CM546" t="s">
        <v>847</v>
      </c>
      <c r="CN546" s="34">
        <f>AVERAGE(104.6,237)</f>
        <v>170.8</v>
      </c>
      <c r="CO546" s="4" t="s">
        <v>1</v>
      </c>
      <c r="CP546" s="4" t="s">
        <v>1</v>
      </c>
      <c r="CQ546" s="4" t="s">
        <v>1</v>
      </c>
      <c r="CR546" s="4" t="s">
        <v>1</v>
      </c>
      <c r="CS546" s="4" t="s">
        <v>1</v>
      </c>
      <c r="CT546" s="4" t="s">
        <v>1</v>
      </c>
      <c r="CU546" s="4" t="s">
        <v>1</v>
      </c>
      <c r="CV546" t="s">
        <v>850</v>
      </c>
      <c r="CW546">
        <v>100</v>
      </c>
      <c r="CX546">
        <v>0</v>
      </c>
      <c r="CY546">
        <v>30</v>
      </c>
      <c r="CZ546" s="26" t="s">
        <v>1358</v>
      </c>
      <c r="DA546" t="s">
        <v>734</v>
      </c>
      <c r="DB546">
        <v>35</v>
      </c>
      <c r="DC546">
        <v>0</v>
      </c>
      <c r="DD546">
        <v>30</v>
      </c>
      <c r="DE546" s="26" t="s">
        <v>1358</v>
      </c>
      <c r="DF546" t="s">
        <v>735</v>
      </c>
      <c r="DG546">
        <v>35</v>
      </c>
      <c r="DH546">
        <v>0</v>
      </c>
      <c r="DI546">
        <v>30</v>
      </c>
      <c r="DJ546" s="26" t="s">
        <v>1358</v>
      </c>
      <c r="DK546" t="s">
        <v>736</v>
      </c>
      <c r="DL546">
        <v>30</v>
      </c>
      <c r="DM546">
        <v>0</v>
      </c>
      <c r="DN546">
        <v>30</v>
      </c>
      <c r="DO546" s="26" t="s">
        <v>1358</v>
      </c>
      <c r="DP546" t="s">
        <v>6</v>
      </c>
      <c r="DQ546" t="s">
        <v>1</v>
      </c>
      <c r="DR546">
        <v>8</v>
      </c>
      <c r="DS546">
        <v>0</v>
      </c>
      <c r="DT546">
        <v>30</v>
      </c>
      <c r="DU546" s="26" t="s">
        <v>1358</v>
      </c>
      <c r="EA546" t="s">
        <v>982</v>
      </c>
      <c r="EB546">
        <v>11.6</v>
      </c>
      <c r="EC546">
        <v>0</v>
      </c>
      <c r="ED546">
        <v>30</v>
      </c>
      <c r="EE546" s="26" t="s">
        <v>1358</v>
      </c>
      <c r="EF546" s="26"/>
      <c r="FZ546" t="s">
        <v>806</v>
      </c>
      <c r="GA546">
        <v>87.5</v>
      </c>
      <c r="GE546" s="26" t="s">
        <v>1358</v>
      </c>
      <c r="HA546" s="5" t="s">
        <v>1069</v>
      </c>
      <c r="HB546" s="4">
        <v>48</v>
      </c>
      <c r="HC546">
        <v>0</v>
      </c>
      <c r="HD546">
        <v>30</v>
      </c>
      <c r="HE546" s="26" t="s">
        <v>1358</v>
      </c>
      <c r="HF546" s="5" t="s">
        <v>1</v>
      </c>
      <c r="HG546" s="4" t="s">
        <v>1</v>
      </c>
      <c r="HH546" t="s">
        <v>1</v>
      </c>
      <c r="HI546" t="s">
        <v>1</v>
      </c>
      <c r="HJ546" t="s">
        <v>1</v>
      </c>
      <c r="HK546" t="s">
        <v>815</v>
      </c>
      <c r="HL546" s="34">
        <v>1.2850000000000001</v>
      </c>
      <c r="HM546">
        <v>0</v>
      </c>
      <c r="HN546">
        <v>30</v>
      </c>
      <c r="HO546" t="s">
        <v>1</v>
      </c>
      <c r="HP546" s="26" t="s">
        <v>1358</v>
      </c>
      <c r="HZ546" t="s">
        <v>969</v>
      </c>
      <c r="IA546">
        <v>200</v>
      </c>
      <c r="IB546" s="10" t="s">
        <v>1</v>
      </c>
      <c r="IC546" s="10"/>
      <c r="ID546" s="10"/>
      <c r="IE546" s="10" t="s">
        <v>1</v>
      </c>
      <c r="IF546" s="10" t="s">
        <v>1</v>
      </c>
      <c r="IG546" s="10"/>
      <c r="IH546" s="10"/>
      <c r="II546" s="10"/>
      <c r="IJ546" s="10"/>
      <c r="IK546" s="10"/>
      <c r="IL546" s="10"/>
      <c r="IM546" s="10"/>
      <c r="IN546" s="10"/>
      <c r="IO546" s="10"/>
      <c r="IP546" s="10"/>
      <c r="IQ546" s="10"/>
      <c r="IR546" s="10"/>
      <c r="IS546" t="s">
        <v>1</v>
      </c>
      <c r="IT546" t="s">
        <v>1</v>
      </c>
      <c r="IW546" t="s">
        <v>1</v>
      </c>
      <c r="IX546" t="s">
        <v>1</v>
      </c>
      <c r="IY546" t="s">
        <v>808</v>
      </c>
      <c r="IZ546">
        <v>12080</v>
      </c>
      <c r="JA546" t="s">
        <v>1</v>
      </c>
      <c r="JB546" s="3" t="s">
        <v>1</v>
      </c>
      <c r="JC546" t="s">
        <v>1</v>
      </c>
      <c r="JD546" s="4" t="s">
        <v>1</v>
      </c>
      <c r="JE546" t="s">
        <v>810</v>
      </c>
      <c r="JF546">
        <v>100</v>
      </c>
      <c r="JR546" t="s">
        <v>1066</v>
      </c>
      <c r="JS546">
        <v>40.299999999999997</v>
      </c>
      <c r="JU546" t="s">
        <v>1</v>
      </c>
      <c r="JW546" t="s">
        <v>1</v>
      </c>
      <c r="JX546">
        <v>0</v>
      </c>
      <c r="JY546">
        <v>100</v>
      </c>
      <c r="JZ546" t="s">
        <v>795</v>
      </c>
      <c r="KA546" t="s">
        <v>636</v>
      </c>
      <c r="KB546" t="s">
        <v>738</v>
      </c>
      <c r="KC546" t="s">
        <v>1</v>
      </c>
      <c r="KD546" t="s">
        <v>1</v>
      </c>
      <c r="KE546" t="s">
        <v>1</v>
      </c>
      <c r="KF546" t="s">
        <v>1</v>
      </c>
      <c r="KG546" t="s">
        <v>1</v>
      </c>
      <c r="KH546" t="s">
        <v>1</v>
      </c>
      <c r="KI546" t="s">
        <v>1</v>
      </c>
      <c r="KJ546" t="s">
        <v>1</v>
      </c>
      <c r="KK546" t="s">
        <v>1</v>
      </c>
    </row>
    <row r="547" spans="1:297" x14ac:dyDescent="0.2">
      <c r="A547">
        <v>515</v>
      </c>
      <c r="B547" t="s">
        <v>705</v>
      </c>
      <c r="C547" t="s">
        <v>639</v>
      </c>
      <c r="D547" t="s">
        <v>633</v>
      </c>
      <c r="E547">
        <v>87</v>
      </c>
      <c r="F547" t="s">
        <v>634</v>
      </c>
      <c r="G547" t="s">
        <v>1</v>
      </c>
      <c r="H547" s="26" t="s">
        <v>1420</v>
      </c>
      <c r="I547" t="s">
        <v>1</v>
      </c>
      <c r="J547" t="s">
        <v>1</v>
      </c>
      <c r="K547" t="s">
        <v>1</v>
      </c>
      <c r="L547" t="s">
        <v>1</v>
      </c>
      <c r="M547" t="s">
        <v>1</v>
      </c>
      <c r="N547" t="s">
        <v>1</v>
      </c>
      <c r="O547" t="s">
        <v>1</v>
      </c>
      <c r="P547" t="s">
        <v>1</v>
      </c>
      <c r="Q547" t="s">
        <v>1</v>
      </c>
      <c r="R547" t="s">
        <v>1</v>
      </c>
      <c r="S547" t="s">
        <v>1</v>
      </c>
      <c r="T547" t="s">
        <v>1</v>
      </c>
      <c r="U547" t="s">
        <v>1</v>
      </c>
      <c r="V547" t="s">
        <v>1</v>
      </c>
      <c r="W547" t="s">
        <v>1</v>
      </c>
      <c r="X547" t="s">
        <v>1</v>
      </c>
      <c r="Y547" t="s">
        <v>1</v>
      </c>
      <c r="Z547" t="s">
        <v>1</v>
      </c>
      <c r="AA547" t="s">
        <v>1</v>
      </c>
      <c r="AB547" t="s">
        <v>1</v>
      </c>
      <c r="AC547" t="s">
        <v>1</v>
      </c>
      <c r="AD547" t="s">
        <v>1</v>
      </c>
      <c r="AE547" t="s">
        <v>1</v>
      </c>
      <c r="AF547" t="s">
        <v>1</v>
      </c>
      <c r="AG547" t="s">
        <v>1</v>
      </c>
      <c r="AH547" t="s">
        <v>1</v>
      </c>
      <c r="AI547" t="s">
        <v>1</v>
      </c>
      <c r="AJ547" t="s">
        <v>1</v>
      </c>
      <c r="AK547" t="s">
        <v>1</v>
      </c>
      <c r="AL547" t="s">
        <v>1</v>
      </c>
      <c r="AM547" t="s">
        <v>1</v>
      </c>
      <c r="AN547">
        <v>515</v>
      </c>
      <c r="AO547">
        <f t="shared" si="69"/>
        <v>515</v>
      </c>
      <c r="AP547">
        <f t="shared" si="72"/>
        <v>87</v>
      </c>
      <c r="AQ547">
        <f t="shared" si="73"/>
        <v>87</v>
      </c>
      <c r="AR547" s="26" t="s">
        <v>1355</v>
      </c>
      <c r="AS547" s="26" t="s">
        <v>1356</v>
      </c>
      <c r="AT547" t="s">
        <v>723</v>
      </c>
      <c r="AU547" t="s">
        <v>792</v>
      </c>
      <c r="AV547" t="s">
        <v>1</v>
      </c>
      <c r="AW547">
        <v>29.6</v>
      </c>
      <c r="AX547">
        <v>52.53</v>
      </c>
      <c r="AY547" t="s">
        <v>737</v>
      </c>
      <c r="BA547" s="3">
        <v>3</v>
      </c>
      <c r="BB547" s="3"/>
      <c r="BC547" s="3"/>
      <c r="BD547" s="3"/>
      <c r="BE547" s="3"/>
      <c r="BF547">
        <v>2009</v>
      </c>
      <c r="BG547" s="24" t="s">
        <v>733</v>
      </c>
      <c r="BH547" s="24" t="s">
        <v>733</v>
      </c>
      <c r="BI547" s="24" t="s">
        <v>733</v>
      </c>
      <c r="BJ547" s="24" t="s">
        <v>732</v>
      </c>
      <c r="BK547" s="24" t="s">
        <v>733</v>
      </c>
      <c r="BL547" s="25" t="s">
        <v>733</v>
      </c>
      <c r="BM547" s="24" t="s">
        <v>733</v>
      </c>
      <c r="BN547" s="24" t="s">
        <v>732</v>
      </c>
      <c r="BO547" s="24" t="s">
        <v>733</v>
      </c>
      <c r="BP547" s="24" t="s">
        <v>733</v>
      </c>
      <c r="BQ547" s="24" t="s">
        <v>945</v>
      </c>
      <c r="BR547" s="24" t="s">
        <v>945</v>
      </c>
      <c r="BS547" s="25" t="s">
        <v>934</v>
      </c>
      <c r="BT547" s="24" t="s">
        <v>934</v>
      </c>
      <c r="BU547" s="24" t="s">
        <v>934</v>
      </c>
      <c r="BV547" s="24" t="s">
        <v>934</v>
      </c>
      <c r="BW547" s="24" t="s">
        <v>934</v>
      </c>
      <c r="BX547" s="24" t="s">
        <v>934</v>
      </c>
      <c r="BY547" s="25" t="s">
        <v>945</v>
      </c>
      <c r="BZ547" t="s">
        <v>1397</v>
      </c>
      <c r="CB547" t="s">
        <v>1395</v>
      </c>
      <c r="CC547" s="34">
        <f>AVERAGE(3420*92%,11274*0.87)</f>
        <v>6477.3899999999994</v>
      </c>
      <c r="CD547" s="34"/>
      <c r="CE547" s="34"/>
      <c r="CF547" t="s">
        <v>793</v>
      </c>
      <c r="CG547">
        <v>100</v>
      </c>
      <c r="CH547" t="s">
        <v>805</v>
      </c>
      <c r="CI547" s="28">
        <v>1</v>
      </c>
      <c r="CJ547" s="9" t="s">
        <v>1</v>
      </c>
      <c r="CK547" t="s">
        <v>807</v>
      </c>
      <c r="CL547" s="34">
        <f>AVERAGE(4194,17345)</f>
        <v>10769.5</v>
      </c>
      <c r="CM547" t="s">
        <v>847</v>
      </c>
      <c r="CN547" s="34">
        <f>AVERAGE(145.5,279)</f>
        <v>212.25</v>
      </c>
      <c r="CO547" s="4" t="s">
        <v>1</v>
      </c>
      <c r="CP547" s="4" t="s">
        <v>1</v>
      </c>
      <c r="CQ547" s="4" t="s">
        <v>1</v>
      </c>
      <c r="CR547" s="4" t="s">
        <v>1</v>
      </c>
      <c r="CS547" s="4" t="s">
        <v>1</v>
      </c>
      <c r="CT547" s="4" t="s">
        <v>1</v>
      </c>
      <c r="CU547" s="4" t="s">
        <v>1</v>
      </c>
      <c r="CV547" t="s">
        <v>850</v>
      </c>
      <c r="CW547">
        <v>100</v>
      </c>
      <c r="CX547">
        <v>0</v>
      </c>
      <c r="CY547">
        <v>30</v>
      </c>
      <c r="CZ547" s="26" t="s">
        <v>1358</v>
      </c>
      <c r="DA547" t="s">
        <v>734</v>
      </c>
      <c r="DB547">
        <v>35</v>
      </c>
      <c r="DC547">
        <v>0</v>
      </c>
      <c r="DD547">
        <v>30</v>
      </c>
      <c r="DE547" s="26" t="s">
        <v>1358</v>
      </c>
      <c r="DF547" t="s">
        <v>735</v>
      </c>
      <c r="DG547">
        <v>35</v>
      </c>
      <c r="DH547">
        <v>0</v>
      </c>
      <c r="DI547">
        <v>30</v>
      </c>
      <c r="DJ547" s="26" t="s">
        <v>1358</v>
      </c>
      <c r="DK547" t="s">
        <v>736</v>
      </c>
      <c r="DL547">
        <v>30</v>
      </c>
      <c r="DM547">
        <v>0</v>
      </c>
      <c r="DN547">
        <v>30</v>
      </c>
      <c r="DO547" s="26" t="s">
        <v>1358</v>
      </c>
      <c r="DP547" t="s">
        <v>6</v>
      </c>
      <c r="DQ547" t="s">
        <v>1</v>
      </c>
      <c r="DR547">
        <v>8</v>
      </c>
      <c r="DS547">
        <v>0</v>
      </c>
      <c r="DT547">
        <v>30</v>
      </c>
      <c r="DU547" s="26" t="s">
        <v>1358</v>
      </c>
      <c r="EA547" t="s">
        <v>982</v>
      </c>
      <c r="EB547">
        <v>11.6</v>
      </c>
      <c r="EC547">
        <v>0</v>
      </c>
      <c r="ED547">
        <v>30</v>
      </c>
      <c r="EE547" s="26" t="s">
        <v>1358</v>
      </c>
      <c r="EF547" s="26"/>
      <c r="FZ547" t="s">
        <v>806</v>
      </c>
      <c r="GA547">
        <v>87.5</v>
      </c>
      <c r="GE547" s="26" t="s">
        <v>1358</v>
      </c>
      <c r="HA547" s="5" t="s">
        <v>1069</v>
      </c>
      <c r="HB547" s="4">
        <v>48</v>
      </c>
      <c r="HC547">
        <v>0</v>
      </c>
      <c r="HD547">
        <v>30</v>
      </c>
      <c r="HE547" s="26" t="s">
        <v>1358</v>
      </c>
      <c r="HF547" s="5" t="s">
        <v>1</v>
      </c>
      <c r="HG547" s="4" t="s">
        <v>1</v>
      </c>
      <c r="HH547" t="s">
        <v>1</v>
      </c>
      <c r="HI547" t="s">
        <v>1</v>
      </c>
      <c r="HJ547" t="s">
        <v>1</v>
      </c>
      <c r="HK547" t="s">
        <v>815</v>
      </c>
      <c r="HL547" s="34">
        <v>1.2850000000000001</v>
      </c>
      <c r="HM547">
        <v>0</v>
      </c>
      <c r="HN547">
        <v>30</v>
      </c>
      <c r="HO547" t="s">
        <v>1</v>
      </c>
      <c r="HP547" s="26" t="s">
        <v>1358</v>
      </c>
      <c r="HZ547" t="s">
        <v>969</v>
      </c>
      <c r="IA547">
        <v>300</v>
      </c>
      <c r="IB547" s="10" t="s">
        <v>1</v>
      </c>
      <c r="IC547" s="10"/>
      <c r="ID547" s="10"/>
      <c r="IE547" s="10" t="s">
        <v>1</v>
      </c>
      <c r="IF547" s="10" t="s">
        <v>1</v>
      </c>
      <c r="IG547" s="10"/>
      <c r="IH547" s="10"/>
      <c r="II547" s="10"/>
      <c r="IJ547" s="10"/>
      <c r="IK547" s="10"/>
      <c r="IL547" s="10"/>
      <c r="IM547" s="10"/>
      <c r="IN547" s="10"/>
      <c r="IO547" s="10"/>
      <c r="IP547" s="10"/>
      <c r="IQ547" s="10"/>
      <c r="IR547" s="10"/>
      <c r="IS547" t="s">
        <v>1</v>
      </c>
      <c r="IT547" t="s">
        <v>1</v>
      </c>
      <c r="IW547" t="s">
        <v>1</v>
      </c>
      <c r="IX547" t="s">
        <v>1</v>
      </c>
      <c r="IY547" t="s">
        <v>808</v>
      </c>
      <c r="IZ547">
        <v>12080</v>
      </c>
      <c r="JA547" t="s">
        <v>1</v>
      </c>
      <c r="JB547" s="3" t="s">
        <v>1</v>
      </c>
      <c r="JC547" t="s">
        <v>1</v>
      </c>
      <c r="JD547" s="4" t="s">
        <v>1</v>
      </c>
      <c r="JE547" t="s">
        <v>810</v>
      </c>
      <c r="JF547">
        <v>100</v>
      </c>
      <c r="JR547" t="s">
        <v>1066</v>
      </c>
      <c r="JS547">
        <v>50.2</v>
      </c>
      <c r="JU547" t="s">
        <v>1</v>
      </c>
      <c r="JW547" t="s">
        <v>1</v>
      </c>
      <c r="JX547">
        <v>0</v>
      </c>
      <c r="JY547">
        <v>100</v>
      </c>
      <c r="JZ547" t="s">
        <v>795</v>
      </c>
      <c r="KA547" t="s">
        <v>636</v>
      </c>
      <c r="KB547" t="s">
        <v>738</v>
      </c>
      <c r="KC547" t="s">
        <v>1</v>
      </c>
      <c r="KD547" t="s">
        <v>1</v>
      </c>
      <c r="KE547" t="s">
        <v>1</v>
      </c>
      <c r="KF547" t="s">
        <v>1</v>
      </c>
      <c r="KG547" t="s">
        <v>1</v>
      </c>
      <c r="KH547" t="s">
        <v>1</v>
      </c>
      <c r="KI547" t="s">
        <v>1</v>
      </c>
      <c r="KJ547" t="s">
        <v>1</v>
      </c>
      <c r="KK547" t="s">
        <v>1</v>
      </c>
    </row>
    <row r="548" spans="1:297" x14ac:dyDescent="0.2">
      <c r="A548">
        <v>516</v>
      </c>
      <c r="B548" t="s">
        <v>705</v>
      </c>
      <c r="C548" t="s">
        <v>640</v>
      </c>
      <c r="D548" t="s">
        <v>633</v>
      </c>
      <c r="E548">
        <v>87</v>
      </c>
      <c r="F548" t="s">
        <v>634</v>
      </c>
      <c r="G548" t="s">
        <v>1</v>
      </c>
      <c r="H548" s="26" t="s">
        <v>1420</v>
      </c>
      <c r="I548" t="s">
        <v>1</v>
      </c>
      <c r="J548" t="s">
        <v>1</v>
      </c>
      <c r="K548" t="s">
        <v>1</v>
      </c>
      <c r="L548" t="s">
        <v>1</v>
      </c>
      <c r="M548" t="s">
        <v>1</v>
      </c>
      <c r="N548" t="s">
        <v>1</v>
      </c>
      <c r="O548" t="s">
        <v>1</v>
      </c>
      <c r="P548" t="s">
        <v>1</v>
      </c>
      <c r="Q548" t="s">
        <v>1</v>
      </c>
      <c r="R548" t="s">
        <v>1</v>
      </c>
      <c r="S548" t="s">
        <v>1</v>
      </c>
      <c r="T548" t="s">
        <v>1</v>
      </c>
      <c r="U548" t="s">
        <v>1</v>
      </c>
      <c r="V548" t="s">
        <v>1</v>
      </c>
      <c r="W548" t="s">
        <v>1</v>
      </c>
      <c r="X548" t="s">
        <v>1</v>
      </c>
      <c r="Y548" t="s">
        <v>1</v>
      </c>
      <c r="Z548" t="s">
        <v>1</v>
      </c>
      <c r="AA548" t="s">
        <v>1</v>
      </c>
      <c r="AB548" t="s">
        <v>1</v>
      </c>
      <c r="AC548" t="s">
        <v>1</v>
      </c>
      <c r="AD548" t="s">
        <v>1</v>
      </c>
      <c r="AE548" t="s">
        <v>1</v>
      </c>
      <c r="AF548" t="s">
        <v>1</v>
      </c>
      <c r="AG548" t="s">
        <v>1</v>
      </c>
      <c r="AH548" t="s">
        <v>1</v>
      </c>
      <c r="AI548" t="s">
        <v>1</v>
      </c>
      <c r="AJ548" t="s">
        <v>1</v>
      </c>
      <c r="AK548" t="s">
        <v>1</v>
      </c>
      <c r="AL548" t="s">
        <v>1</v>
      </c>
      <c r="AM548" t="s">
        <v>1</v>
      </c>
      <c r="AN548">
        <v>516</v>
      </c>
      <c r="AO548">
        <f t="shared" si="69"/>
        <v>516</v>
      </c>
      <c r="AP548">
        <f t="shared" si="72"/>
        <v>87</v>
      </c>
      <c r="AQ548">
        <f t="shared" si="73"/>
        <v>87</v>
      </c>
      <c r="AR548" s="26" t="s">
        <v>1355</v>
      </c>
      <c r="AS548" s="26" t="s">
        <v>1356</v>
      </c>
      <c r="AT548" t="s">
        <v>723</v>
      </c>
      <c r="AU548" t="s">
        <v>792</v>
      </c>
      <c r="AV548" t="s">
        <v>1</v>
      </c>
      <c r="AW548">
        <v>29.6</v>
      </c>
      <c r="AX548">
        <v>52.53</v>
      </c>
      <c r="AY548" t="s">
        <v>737</v>
      </c>
      <c r="BA548" s="3">
        <v>3</v>
      </c>
      <c r="BB548" s="3"/>
      <c r="BC548" s="3"/>
      <c r="BD548" s="3"/>
      <c r="BE548" s="3"/>
      <c r="BF548">
        <v>2009</v>
      </c>
      <c r="BG548" s="24" t="s">
        <v>733</v>
      </c>
      <c r="BH548" s="24" t="s">
        <v>733</v>
      </c>
      <c r="BI548" s="24" t="s">
        <v>733</v>
      </c>
      <c r="BJ548" s="24" t="s">
        <v>732</v>
      </c>
      <c r="BK548" s="24" t="s">
        <v>733</v>
      </c>
      <c r="BL548" s="25" t="s">
        <v>733</v>
      </c>
      <c r="BM548" s="24" t="s">
        <v>733</v>
      </c>
      <c r="BN548" s="24" t="s">
        <v>732</v>
      </c>
      <c r="BO548" s="24" t="s">
        <v>733</v>
      </c>
      <c r="BP548" s="24" t="s">
        <v>733</v>
      </c>
      <c r="BQ548" s="24" t="s">
        <v>945</v>
      </c>
      <c r="BR548" s="24" t="s">
        <v>945</v>
      </c>
      <c r="BS548" s="25" t="s">
        <v>934</v>
      </c>
      <c r="BT548" s="24" t="s">
        <v>934</v>
      </c>
      <c r="BU548" s="24" t="s">
        <v>934</v>
      </c>
      <c r="BV548" s="24" t="s">
        <v>934</v>
      </c>
      <c r="BW548" s="24" t="s">
        <v>934</v>
      </c>
      <c r="BX548" s="24" t="s">
        <v>934</v>
      </c>
      <c r="BY548" s="25" t="s">
        <v>945</v>
      </c>
      <c r="BZ548" t="s">
        <v>1397</v>
      </c>
      <c r="CB548" t="s">
        <v>1395</v>
      </c>
      <c r="CC548" s="34">
        <f>AVERAGE(1351*92%,2087*0.87)</f>
        <v>1529.3050000000001</v>
      </c>
      <c r="CD548" s="34"/>
      <c r="CE548" s="34"/>
      <c r="CF548" t="s">
        <v>793</v>
      </c>
      <c r="CG548">
        <v>100</v>
      </c>
      <c r="CH548" t="s">
        <v>805</v>
      </c>
      <c r="CI548" s="28">
        <v>1</v>
      </c>
      <c r="CJ548" s="9" t="s">
        <v>1</v>
      </c>
      <c r="CK548" t="s">
        <v>807</v>
      </c>
      <c r="CL548" s="34">
        <f>AVERAGE(1621,4175)</f>
        <v>2898</v>
      </c>
      <c r="CM548" t="s">
        <v>847</v>
      </c>
      <c r="CN548" s="34">
        <f>AVERAGE(19.8,32.8)</f>
        <v>26.299999999999997</v>
      </c>
      <c r="CO548" s="4" t="s">
        <v>1</v>
      </c>
      <c r="CP548" s="4" t="s">
        <v>1</v>
      </c>
      <c r="CQ548" s="4" t="s">
        <v>1</v>
      </c>
      <c r="CR548" s="4" t="s">
        <v>1</v>
      </c>
      <c r="CS548" s="4" t="s">
        <v>1</v>
      </c>
      <c r="CT548" s="4" t="s">
        <v>1</v>
      </c>
      <c r="CU548" s="4" t="s">
        <v>1</v>
      </c>
      <c r="CV548" t="s">
        <v>850</v>
      </c>
      <c r="CW548">
        <v>100</v>
      </c>
      <c r="CX548">
        <v>0</v>
      </c>
      <c r="CY548">
        <v>30</v>
      </c>
      <c r="CZ548" s="26" t="s">
        <v>1358</v>
      </c>
      <c r="DA548" t="s">
        <v>734</v>
      </c>
      <c r="DB548">
        <v>35</v>
      </c>
      <c r="DC548">
        <v>0</v>
      </c>
      <c r="DD548">
        <v>30</v>
      </c>
      <c r="DE548" s="26" t="s">
        <v>1358</v>
      </c>
      <c r="DF548" t="s">
        <v>735</v>
      </c>
      <c r="DG548">
        <v>35</v>
      </c>
      <c r="DH548">
        <v>0</v>
      </c>
      <c r="DI548">
        <v>30</v>
      </c>
      <c r="DJ548" s="26" t="s">
        <v>1358</v>
      </c>
      <c r="DK548" t="s">
        <v>736</v>
      </c>
      <c r="DL548">
        <v>30</v>
      </c>
      <c r="DM548">
        <v>0</v>
      </c>
      <c r="DN548">
        <v>30</v>
      </c>
      <c r="DO548" s="26" t="s">
        <v>1358</v>
      </c>
      <c r="DP548" t="s">
        <v>6</v>
      </c>
      <c r="DQ548" t="s">
        <v>1</v>
      </c>
      <c r="DR548">
        <v>8</v>
      </c>
      <c r="DS548">
        <v>0</v>
      </c>
      <c r="DT548">
        <v>30</v>
      </c>
      <c r="DU548" s="26" t="s">
        <v>1358</v>
      </c>
      <c r="EA548" t="s">
        <v>982</v>
      </c>
      <c r="EB548">
        <v>11.6</v>
      </c>
      <c r="EC548">
        <v>0</v>
      </c>
      <c r="ED548">
        <v>30</v>
      </c>
      <c r="EE548" s="26" t="s">
        <v>1358</v>
      </c>
      <c r="EF548" s="26"/>
      <c r="FZ548" t="s">
        <v>806</v>
      </c>
      <c r="GA548">
        <v>87.5</v>
      </c>
      <c r="GE548" s="26" t="s">
        <v>1358</v>
      </c>
      <c r="HA548" s="5" t="s">
        <v>1069</v>
      </c>
      <c r="HB548" s="4">
        <v>48</v>
      </c>
      <c r="HC548">
        <v>0</v>
      </c>
      <c r="HD548">
        <v>30</v>
      </c>
      <c r="HE548" s="26" t="s">
        <v>1358</v>
      </c>
      <c r="HF548" s="5" t="s">
        <v>1</v>
      </c>
      <c r="HG548" s="4" t="s">
        <v>1</v>
      </c>
      <c r="HH548" t="s">
        <v>1</v>
      </c>
      <c r="HI548" t="s">
        <v>1</v>
      </c>
      <c r="HJ548" t="s">
        <v>1</v>
      </c>
      <c r="HK548" t="s">
        <v>815</v>
      </c>
      <c r="HL548" s="34">
        <v>1.2850000000000001</v>
      </c>
      <c r="HM548">
        <v>0</v>
      </c>
      <c r="HN548">
        <v>30</v>
      </c>
      <c r="HO548" t="s">
        <v>1</v>
      </c>
      <c r="HP548" s="26" t="s">
        <v>1358</v>
      </c>
      <c r="HZ548" t="s">
        <v>1</v>
      </c>
      <c r="IA548" t="s">
        <v>1</v>
      </c>
      <c r="IB548" s="10" t="s">
        <v>1</v>
      </c>
      <c r="IC548" s="10"/>
      <c r="ID548" s="10"/>
      <c r="IE548" s="10" t="s">
        <v>1</v>
      </c>
      <c r="IF548" s="10" t="s">
        <v>1</v>
      </c>
      <c r="IG548" s="10"/>
      <c r="IH548" s="10"/>
      <c r="II548" s="10"/>
      <c r="IJ548" s="10"/>
      <c r="IK548" s="10"/>
      <c r="IL548" s="10"/>
      <c r="IM548" s="10"/>
      <c r="IN548" s="10"/>
      <c r="IO548" s="10"/>
      <c r="IP548" s="10"/>
      <c r="IQ548" s="10"/>
      <c r="IR548" s="10"/>
      <c r="IS548" t="s">
        <v>1</v>
      </c>
      <c r="IT548" t="s">
        <v>1</v>
      </c>
      <c r="IW548" t="s">
        <v>1</v>
      </c>
      <c r="IX548" t="s">
        <v>1</v>
      </c>
      <c r="IY548" t="s">
        <v>808</v>
      </c>
      <c r="IZ548">
        <v>8965</v>
      </c>
      <c r="JA548" t="s">
        <v>1</v>
      </c>
      <c r="JB548" s="3" t="s">
        <v>1</v>
      </c>
      <c r="JC548" t="s">
        <v>1</v>
      </c>
      <c r="JD548" s="4" t="s">
        <v>1</v>
      </c>
      <c r="JE548" t="s">
        <v>810</v>
      </c>
      <c r="JF548">
        <v>100</v>
      </c>
      <c r="JR548" t="s">
        <v>1066</v>
      </c>
      <c r="JS548">
        <v>13.7</v>
      </c>
      <c r="JU548" t="s">
        <v>1</v>
      </c>
      <c r="JW548" t="s">
        <v>1</v>
      </c>
      <c r="JX548">
        <v>0</v>
      </c>
      <c r="JY548">
        <v>100</v>
      </c>
      <c r="JZ548" t="s">
        <v>795</v>
      </c>
      <c r="KA548" t="s">
        <v>636</v>
      </c>
      <c r="KB548" t="s">
        <v>738</v>
      </c>
      <c r="KC548" t="s">
        <v>1</v>
      </c>
      <c r="KD548" t="s">
        <v>1</v>
      </c>
      <c r="KE548" t="s">
        <v>1</v>
      </c>
      <c r="KF548" t="s">
        <v>1</v>
      </c>
      <c r="KG548" t="s">
        <v>1</v>
      </c>
      <c r="KH548" t="s">
        <v>1</v>
      </c>
      <c r="KI548" t="s">
        <v>1</v>
      </c>
      <c r="KJ548" t="s">
        <v>1</v>
      </c>
      <c r="KK548" t="s">
        <v>1</v>
      </c>
    </row>
    <row r="549" spans="1:297" x14ac:dyDescent="0.2">
      <c r="A549">
        <v>517</v>
      </c>
      <c r="B549" t="s">
        <v>705</v>
      </c>
      <c r="C549" t="s">
        <v>641</v>
      </c>
      <c r="D549" t="s">
        <v>633</v>
      </c>
      <c r="E549">
        <v>87</v>
      </c>
      <c r="F549" t="s">
        <v>634</v>
      </c>
      <c r="G549" t="s">
        <v>1</v>
      </c>
      <c r="H549" s="26" t="s">
        <v>1420</v>
      </c>
      <c r="I549" t="s">
        <v>1</v>
      </c>
      <c r="J549" t="s">
        <v>1</v>
      </c>
      <c r="K549" t="s">
        <v>1</v>
      </c>
      <c r="L549" t="s">
        <v>1</v>
      </c>
      <c r="M549" t="s">
        <v>1</v>
      </c>
      <c r="N549" t="s">
        <v>1</v>
      </c>
      <c r="O549" t="s">
        <v>1</v>
      </c>
      <c r="P549" t="s">
        <v>1</v>
      </c>
      <c r="Q549" t="s">
        <v>1</v>
      </c>
      <c r="R549" t="s">
        <v>1</v>
      </c>
      <c r="S549" t="s">
        <v>1</v>
      </c>
      <c r="T549" t="s">
        <v>1</v>
      </c>
      <c r="U549" t="s">
        <v>1</v>
      </c>
      <c r="V549" t="s">
        <v>1</v>
      </c>
      <c r="W549" t="s">
        <v>1</v>
      </c>
      <c r="X549" t="s">
        <v>1</v>
      </c>
      <c r="Y549" t="s">
        <v>1</v>
      </c>
      <c r="Z549" t="s">
        <v>1</v>
      </c>
      <c r="AA549" t="s">
        <v>1</v>
      </c>
      <c r="AB549" t="s">
        <v>1</v>
      </c>
      <c r="AC549" t="s">
        <v>1</v>
      </c>
      <c r="AD549" t="s">
        <v>1</v>
      </c>
      <c r="AE549" t="s">
        <v>1</v>
      </c>
      <c r="AF549" t="s">
        <v>1</v>
      </c>
      <c r="AG549" t="s">
        <v>1</v>
      </c>
      <c r="AH549" t="s">
        <v>1</v>
      </c>
      <c r="AI549" t="s">
        <v>1</v>
      </c>
      <c r="AJ549" t="s">
        <v>1</v>
      </c>
      <c r="AK549" t="s">
        <v>1</v>
      </c>
      <c r="AL549" t="s">
        <v>1</v>
      </c>
      <c r="AM549" t="s">
        <v>1</v>
      </c>
      <c r="AN549">
        <v>517</v>
      </c>
      <c r="AO549">
        <f t="shared" si="69"/>
        <v>517</v>
      </c>
      <c r="AP549">
        <f t="shared" si="72"/>
        <v>87</v>
      </c>
      <c r="AQ549">
        <f t="shared" si="73"/>
        <v>87</v>
      </c>
      <c r="AR549" s="26" t="s">
        <v>1355</v>
      </c>
      <c r="AS549" s="26" t="s">
        <v>1356</v>
      </c>
      <c r="AT549" t="s">
        <v>723</v>
      </c>
      <c r="AU549" t="s">
        <v>792</v>
      </c>
      <c r="AV549" t="s">
        <v>1</v>
      </c>
      <c r="AW549">
        <v>29.6</v>
      </c>
      <c r="AX549">
        <v>52.53</v>
      </c>
      <c r="AY549" t="s">
        <v>737</v>
      </c>
      <c r="BA549" s="3">
        <v>3</v>
      </c>
      <c r="BB549" s="3"/>
      <c r="BC549" s="3"/>
      <c r="BD549" s="3"/>
      <c r="BE549" s="3"/>
      <c r="BF549">
        <v>2009</v>
      </c>
      <c r="BG549" s="24" t="s">
        <v>733</v>
      </c>
      <c r="BH549" s="24" t="s">
        <v>733</v>
      </c>
      <c r="BI549" s="24" t="s">
        <v>733</v>
      </c>
      <c r="BJ549" s="24" t="s">
        <v>732</v>
      </c>
      <c r="BK549" s="24" t="s">
        <v>733</v>
      </c>
      <c r="BL549" s="25" t="s">
        <v>733</v>
      </c>
      <c r="BM549" s="24" t="s">
        <v>733</v>
      </c>
      <c r="BN549" s="24" t="s">
        <v>732</v>
      </c>
      <c r="BO549" s="24" t="s">
        <v>733</v>
      </c>
      <c r="BP549" s="24" t="s">
        <v>733</v>
      </c>
      <c r="BQ549" s="24" t="s">
        <v>945</v>
      </c>
      <c r="BR549" s="24" t="s">
        <v>945</v>
      </c>
      <c r="BS549" s="25" t="s">
        <v>934</v>
      </c>
      <c r="BT549" s="24" t="s">
        <v>934</v>
      </c>
      <c r="BU549" s="24" t="s">
        <v>934</v>
      </c>
      <c r="BV549" s="24" t="s">
        <v>934</v>
      </c>
      <c r="BW549" s="24" t="s">
        <v>934</v>
      </c>
      <c r="BX549" s="24" t="s">
        <v>934</v>
      </c>
      <c r="BY549" s="25" t="s">
        <v>945</v>
      </c>
      <c r="BZ549" t="s">
        <v>1397</v>
      </c>
      <c r="CB549" t="s">
        <v>1395</v>
      </c>
      <c r="CC549" s="4">
        <f>AVERAGE(1800*92%,3337*0.87)</f>
        <v>2279.5950000000003</v>
      </c>
      <c r="CD549" s="4"/>
      <c r="CE549" s="4"/>
      <c r="CF549" t="s">
        <v>793</v>
      </c>
      <c r="CG549">
        <v>100</v>
      </c>
      <c r="CH549" t="s">
        <v>805</v>
      </c>
      <c r="CI549" s="28">
        <v>1</v>
      </c>
      <c r="CJ549" s="9" t="s">
        <v>1</v>
      </c>
      <c r="CK549" t="s">
        <v>807</v>
      </c>
      <c r="CL549" s="4">
        <f>AVERAGE(2160,6068)</f>
        <v>4114</v>
      </c>
      <c r="CM549" t="s">
        <v>847</v>
      </c>
      <c r="CN549" s="4">
        <f>AVERAGE(35,63.2)</f>
        <v>49.1</v>
      </c>
      <c r="CO549" s="4" t="s">
        <v>1</v>
      </c>
      <c r="CP549" s="4" t="s">
        <v>1</v>
      </c>
      <c r="CQ549" s="4" t="s">
        <v>1</v>
      </c>
      <c r="CR549" s="4" t="s">
        <v>1</v>
      </c>
      <c r="CS549" s="4" t="s">
        <v>1</v>
      </c>
      <c r="CT549" s="4" t="s">
        <v>1</v>
      </c>
      <c r="CU549" s="4" t="s">
        <v>1</v>
      </c>
      <c r="CV549" t="s">
        <v>850</v>
      </c>
      <c r="CW549">
        <v>100</v>
      </c>
      <c r="CX549">
        <v>0</v>
      </c>
      <c r="CY549">
        <v>30</v>
      </c>
      <c r="CZ549" s="26" t="s">
        <v>1358</v>
      </c>
      <c r="DA549" t="s">
        <v>734</v>
      </c>
      <c r="DB549">
        <v>35</v>
      </c>
      <c r="DC549">
        <v>0</v>
      </c>
      <c r="DD549">
        <v>30</v>
      </c>
      <c r="DE549" s="26" t="s">
        <v>1358</v>
      </c>
      <c r="DF549" t="s">
        <v>735</v>
      </c>
      <c r="DG549">
        <v>35</v>
      </c>
      <c r="DH549">
        <v>0</v>
      </c>
      <c r="DI549">
        <v>30</v>
      </c>
      <c r="DJ549" s="26" t="s">
        <v>1358</v>
      </c>
      <c r="DK549" t="s">
        <v>736</v>
      </c>
      <c r="DL549">
        <v>30</v>
      </c>
      <c r="DM549">
        <v>0</v>
      </c>
      <c r="DN549">
        <v>30</v>
      </c>
      <c r="DO549" s="26" t="s">
        <v>1358</v>
      </c>
      <c r="DP549" t="s">
        <v>6</v>
      </c>
      <c r="DQ549" t="s">
        <v>1</v>
      </c>
      <c r="DR549">
        <v>8</v>
      </c>
      <c r="DS549">
        <v>0</v>
      </c>
      <c r="DT549">
        <v>30</v>
      </c>
      <c r="DU549" s="26" t="s">
        <v>1358</v>
      </c>
      <c r="EA549" t="s">
        <v>982</v>
      </c>
      <c r="EB549">
        <v>11.6</v>
      </c>
      <c r="EC549">
        <v>0</v>
      </c>
      <c r="ED549">
        <v>30</v>
      </c>
      <c r="EE549" s="26" t="s">
        <v>1358</v>
      </c>
      <c r="EF549" s="26"/>
      <c r="FZ549" t="s">
        <v>806</v>
      </c>
      <c r="GA549">
        <v>87.5</v>
      </c>
      <c r="GE549" s="26" t="s">
        <v>1358</v>
      </c>
      <c r="HA549" s="5" t="s">
        <v>1069</v>
      </c>
      <c r="HB549" s="4">
        <v>48</v>
      </c>
      <c r="HC549">
        <v>0</v>
      </c>
      <c r="HD549">
        <v>30</v>
      </c>
      <c r="HE549" s="26" t="s">
        <v>1358</v>
      </c>
      <c r="HF549" s="5" t="s">
        <v>1</v>
      </c>
      <c r="HG549" s="4" t="s">
        <v>1</v>
      </c>
      <c r="HH549" t="s">
        <v>1</v>
      </c>
      <c r="HI549" t="s">
        <v>1</v>
      </c>
      <c r="HJ549" t="s">
        <v>1</v>
      </c>
      <c r="HK549" t="s">
        <v>815</v>
      </c>
      <c r="HL549" s="34">
        <v>1.2850000000000001</v>
      </c>
      <c r="HM549">
        <v>0</v>
      </c>
      <c r="HN549">
        <v>30</v>
      </c>
      <c r="HO549" t="s">
        <v>1</v>
      </c>
      <c r="HP549" s="26" t="s">
        <v>1358</v>
      </c>
      <c r="HZ549" t="s">
        <v>969</v>
      </c>
      <c r="IA549">
        <v>100</v>
      </c>
      <c r="IB549" s="10" t="s">
        <v>1</v>
      </c>
      <c r="IC549" s="10"/>
      <c r="ID549" s="10"/>
      <c r="IE549" s="10" t="s">
        <v>1</v>
      </c>
      <c r="IF549" s="10" t="s">
        <v>1</v>
      </c>
      <c r="IG549" s="10"/>
      <c r="IH549" s="10"/>
      <c r="II549" s="10"/>
      <c r="IJ549" s="10"/>
      <c r="IK549" s="10"/>
      <c r="IL549" s="10"/>
      <c r="IM549" s="10"/>
      <c r="IN549" s="10"/>
      <c r="IO549" s="10"/>
      <c r="IP549" s="10"/>
      <c r="IQ549" s="10"/>
      <c r="IR549" s="10"/>
      <c r="IS549" t="s">
        <v>1</v>
      </c>
      <c r="IT549" t="s">
        <v>1</v>
      </c>
      <c r="IW549" t="s">
        <v>1</v>
      </c>
      <c r="IX549" t="s">
        <v>1</v>
      </c>
      <c r="IY549" t="s">
        <v>808</v>
      </c>
      <c r="IZ549">
        <v>8965</v>
      </c>
      <c r="JA549" t="s">
        <v>1</v>
      </c>
      <c r="JB549" s="3" t="s">
        <v>1</v>
      </c>
      <c r="JC549" t="s">
        <v>1</v>
      </c>
      <c r="JD549" s="4" t="s">
        <v>1</v>
      </c>
      <c r="JE549" t="s">
        <v>810</v>
      </c>
      <c r="JF549">
        <v>100</v>
      </c>
      <c r="JR549" t="s">
        <v>1066</v>
      </c>
      <c r="JS549">
        <v>15.7</v>
      </c>
      <c r="JU549" t="s">
        <v>1</v>
      </c>
      <c r="JW549" t="s">
        <v>1</v>
      </c>
      <c r="JX549">
        <v>0</v>
      </c>
      <c r="JY549">
        <v>100</v>
      </c>
      <c r="JZ549" t="s">
        <v>795</v>
      </c>
      <c r="KA549" t="s">
        <v>636</v>
      </c>
      <c r="KB549" t="s">
        <v>738</v>
      </c>
      <c r="KC549" t="s">
        <v>1</v>
      </c>
      <c r="KD549" t="s">
        <v>1</v>
      </c>
      <c r="KE549" t="s">
        <v>1</v>
      </c>
      <c r="KF549" t="s">
        <v>1</v>
      </c>
      <c r="KG549" t="s">
        <v>1</v>
      </c>
      <c r="KH549" t="s">
        <v>1</v>
      </c>
      <c r="KI549" t="s">
        <v>1</v>
      </c>
      <c r="KJ549" t="s">
        <v>1</v>
      </c>
      <c r="KK549" t="s">
        <v>1</v>
      </c>
    </row>
    <row r="550" spans="1:297" x14ac:dyDescent="0.2">
      <c r="A550">
        <v>518</v>
      </c>
      <c r="B550" t="s">
        <v>705</v>
      </c>
      <c r="C550" t="s">
        <v>642</v>
      </c>
      <c r="D550" t="s">
        <v>633</v>
      </c>
      <c r="E550">
        <v>87</v>
      </c>
      <c r="F550" t="s">
        <v>634</v>
      </c>
      <c r="G550" t="s">
        <v>1</v>
      </c>
      <c r="H550" s="26" t="s">
        <v>1420</v>
      </c>
      <c r="I550" t="s">
        <v>1</v>
      </c>
      <c r="J550" t="s">
        <v>1</v>
      </c>
      <c r="K550" t="s">
        <v>1</v>
      </c>
      <c r="L550" t="s">
        <v>1</v>
      </c>
      <c r="M550" t="s">
        <v>1</v>
      </c>
      <c r="N550" t="s">
        <v>1</v>
      </c>
      <c r="O550" t="s">
        <v>1</v>
      </c>
      <c r="P550" t="s">
        <v>1</v>
      </c>
      <c r="Q550" t="s">
        <v>1</v>
      </c>
      <c r="R550" t="s">
        <v>1</v>
      </c>
      <c r="S550" t="s">
        <v>1</v>
      </c>
      <c r="T550" t="s">
        <v>1</v>
      </c>
      <c r="U550" t="s">
        <v>1</v>
      </c>
      <c r="V550" t="s">
        <v>1</v>
      </c>
      <c r="W550" t="s">
        <v>1</v>
      </c>
      <c r="X550" t="s">
        <v>1</v>
      </c>
      <c r="Y550" t="s">
        <v>1</v>
      </c>
      <c r="Z550" t="s">
        <v>1</v>
      </c>
      <c r="AA550" t="s">
        <v>1</v>
      </c>
      <c r="AB550" t="s">
        <v>1</v>
      </c>
      <c r="AC550" t="s">
        <v>1</v>
      </c>
      <c r="AD550" t="s">
        <v>1</v>
      </c>
      <c r="AE550" t="s">
        <v>1</v>
      </c>
      <c r="AF550" t="s">
        <v>1</v>
      </c>
      <c r="AG550" t="s">
        <v>1</v>
      </c>
      <c r="AH550" t="s">
        <v>1</v>
      </c>
      <c r="AI550" t="s">
        <v>1</v>
      </c>
      <c r="AJ550" t="s">
        <v>1</v>
      </c>
      <c r="AK550" t="s">
        <v>1</v>
      </c>
      <c r="AL550" t="s">
        <v>1</v>
      </c>
      <c r="AM550" t="s">
        <v>1</v>
      </c>
      <c r="AN550">
        <v>518</v>
      </c>
      <c r="AO550">
        <f t="shared" si="69"/>
        <v>518</v>
      </c>
      <c r="AP550">
        <f t="shared" si="72"/>
        <v>87</v>
      </c>
      <c r="AQ550">
        <f t="shared" si="73"/>
        <v>87</v>
      </c>
      <c r="AR550" s="26" t="s">
        <v>1355</v>
      </c>
      <c r="AS550" s="26" t="s">
        <v>1356</v>
      </c>
      <c r="AT550" t="s">
        <v>723</v>
      </c>
      <c r="AU550" t="s">
        <v>792</v>
      </c>
      <c r="AV550" t="s">
        <v>1</v>
      </c>
      <c r="AW550">
        <v>29.6</v>
      </c>
      <c r="AX550">
        <v>52.53</v>
      </c>
      <c r="AY550" t="s">
        <v>737</v>
      </c>
      <c r="BA550" s="3">
        <v>3</v>
      </c>
      <c r="BB550" s="3"/>
      <c r="BC550" s="3"/>
      <c r="BD550" s="3"/>
      <c r="BE550" s="3"/>
      <c r="BF550">
        <v>2009</v>
      </c>
      <c r="BG550" s="24" t="s">
        <v>733</v>
      </c>
      <c r="BH550" s="24" t="s">
        <v>733</v>
      </c>
      <c r="BI550" s="24" t="s">
        <v>733</v>
      </c>
      <c r="BJ550" s="24" t="s">
        <v>732</v>
      </c>
      <c r="BK550" s="24" t="s">
        <v>733</v>
      </c>
      <c r="BL550" s="25" t="s">
        <v>733</v>
      </c>
      <c r="BM550" s="24" t="s">
        <v>733</v>
      </c>
      <c r="BN550" s="24" t="s">
        <v>732</v>
      </c>
      <c r="BO550" s="24" t="s">
        <v>733</v>
      </c>
      <c r="BP550" s="24" t="s">
        <v>733</v>
      </c>
      <c r="BQ550" s="24" t="s">
        <v>945</v>
      </c>
      <c r="BR550" s="24" t="s">
        <v>945</v>
      </c>
      <c r="BS550" s="25" t="s">
        <v>934</v>
      </c>
      <c r="BT550" s="24" t="s">
        <v>934</v>
      </c>
      <c r="BU550" s="24" t="s">
        <v>934</v>
      </c>
      <c r="BV550" s="24" t="s">
        <v>934</v>
      </c>
      <c r="BW550" s="24" t="s">
        <v>934</v>
      </c>
      <c r="BX550" s="24" t="s">
        <v>934</v>
      </c>
      <c r="BY550" s="25" t="s">
        <v>945</v>
      </c>
      <c r="BZ550" t="s">
        <v>1397</v>
      </c>
      <c r="CB550" t="s">
        <v>1395</v>
      </c>
      <c r="CC550" s="4">
        <f>AVERAGE(3210*92%,6419*0.87)</f>
        <v>4268.8649999999998</v>
      </c>
      <c r="CD550" s="4"/>
      <c r="CE550" s="4"/>
      <c r="CF550" t="s">
        <v>793</v>
      </c>
      <c r="CG550">
        <v>100</v>
      </c>
      <c r="CH550" t="s">
        <v>805</v>
      </c>
      <c r="CI550" s="28">
        <v>1</v>
      </c>
      <c r="CJ550" s="9" t="s">
        <v>1</v>
      </c>
      <c r="CK550" t="s">
        <v>807</v>
      </c>
      <c r="CL550" s="4">
        <f>AVERAGE(4100,10699)</f>
        <v>7399.5</v>
      </c>
      <c r="CM550" t="s">
        <v>847</v>
      </c>
      <c r="CN550" s="4">
        <f>AVERAGE(99.2,164.8)</f>
        <v>132</v>
      </c>
      <c r="CO550" s="4" t="s">
        <v>1</v>
      </c>
      <c r="CP550" s="4" t="s">
        <v>1</v>
      </c>
      <c r="CQ550" s="4" t="s">
        <v>1</v>
      </c>
      <c r="CR550" s="4" t="s">
        <v>1</v>
      </c>
      <c r="CS550" s="4" t="s">
        <v>1</v>
      </c>
      <c r="CT550" s="4" t="s">
        <v>1</v>
      </c>
      <c r="CU550" s="4" t="s">
        <v>1</v>
      </c>
      <c r="CV550" t="s">
        <v>850</v>
      </c>
      <c r="CW550">
        <v>100</v>
      </c>
      <c r="CX550">
        <v>0</v>
      </c>
      <c r="CY550">
        <v>30</v>
      </c>
      <c r="CZ550" s="26" t="s">
        <v>1358</v>
      </c>
      <c r="DA550" t="s">
        <v>734</v>
      </c>
      <c r="DB550">
        <v>35</v>
      </c>
      <c r="DC550">
        <v>0</v>
      </c>
      <c r="DD550">
        <v>30</v>
      </c>
      <c r="DE550" s="26" t="s">
        <v>1358</v>
      </c>
      <c r="DF550" t="s">
        <v>735</v>
      </c>
      <c r="DG550">
        <v>35</v>
      </c>
      <c r="DH550">
        <v>0</v>
      </c>
      <c r="DI550">
        <v>30</v>
      </c>
      <c r="DJ550" s="26" t="s">
        <v>1358</v>
      </c>
      <c r="DK550" t="s">
        <v>736</v>
      </c>
      <c r="DL550">
        <v>30</v>
      </c>
      <c r="DM550">
        <v>0</v>
      </c>
      <c r="DN550">
        <v>30</v>
      </c>
      <c r="DO550" s="26" t="s">
        <v>1358</v>
      </c>
      <c r="DP550" t="s">
        <v>6</v>
      </c>
      <c r="DQ550" t="s">
        <v>1</v>
      </c>
      <c r="DR550">
        <v>8</v>
      </c>
      <c r="DS550">
        <v>0</v>
      </c>
      <c r="DT550">
        <v>30</v>
      </c>
      <c r="DU550" s="26" t="s">
        <v>1358</v>
      </c>
      <c r="EA550" t="s">
        <v>982</v>
      </c>
      <c r="EB550">
        <v>11.6</v>
      </c>
      <c r="EC550">
        <v>0</v>
      </c>
      <c r="ED550">
        <v>30</v>
      </c>
      <c r="EE550" s="26" t="s">
        <v>1358</v>
      </c>
      <c r="EF550" s="26"/>
      <c r="FZ550" t="s">
        <v>806</v>
      </c>
      <c r="GA550">
        <v>87.5</v>
      </c>
      <c r="GE550" s="26" t="s">
        <v>1358</v>
      </c>
      <c r="HA550" s="5" t="s">
        <v>1069</v>
      </c>
      <c r="HB550" s="4">
        <v>48</v>
      </c>
      <c r="HC550">
        <v>0</v>
      </c>
      <c r="HD550">
        <v>30</v>
      </c>
      <c r="HE550" s="26" t="s">
        <v>1358</v>
      </c>
      <c r="HF550" s="5" t="s">
        <v>1</v>
      </c>
      <c r="HG550" s="4" t="s">
        <v>1</v>
      </c>
      <c r="HH550" t="s">
        <v>1</v>
      </c>
      <c r="HI550" t="s">
        <v>1</v>
      </c>
      <c r="HJ550" t="s">
        <v>1</v>
      </c>
      <c r="HK550" t="s">
        <v>815</v>
      </c>
      <c r="HL550" s="34">
        <v>1.2850000000000001</v>
      </c>
      <c r="HM550">
        <v>0</v>
      </c>
      <c r="HN550">
        <v>30</v>
      </c>
      <c r="HO550" t="s">
        <v>1</v>
      </c>
      <c r="HP550" s="26" t="s">
        <v>1358</v>
      </c>
      <c r="HZ550" t="s">
        <v>969</v>
      </c>
      <c r="IA550">
        <v>200</v>
      </c>
      <c r="IB550" s="10" t="s">
        <v>1</v>
      </c>
      <c r="IC550" s="10"/>
      <c r="ID550" s="10"/>
      <c r="IE550" s="10" t="s">
        <v>1</v>
      </c>
      <c r="IF550" s="10" t="s">
        <v>1</v>
      </c>
      <c r="IG550" s="10"/>
      <c r="IH550" s="10"/>
      <c r="II550" s="10"/>
      <c r="IJ550" s="10"/>
      <c r="IK550" s="10"/>
      <c r="IL550" s="10"/>
      <c r="IM550" s="10"/>
      <c r="IN550" s="10"/>
      <c r="IO550" s="10"/>
      <c r="IP550" s="10"/>
      <c r="IQ550" s="10"/>
      <c r="IR550" s="10"/>
      <c r="IS550" t="s">
        <v>1</v>
      </c>
      <c r="IT550" t="s">
        <v>1</v>
      </c>
      <c r="IW550" t="s">
        <v>1</v>
      </c>
      <c r="IX550" t="s">
        <v>1</v>
      </c>
      <c r="IY550" t="s">
        <v>808</v>
      </c>
      <c r="IZ550">
        <v>8965</v>
      </c>
      <c r="JA550" t="s">
        <v>1</v>
      </c>
      <c r="JB550" s="3" t="s">
        <v>1</v>
      </c>
      <c r="JC550" t="s">
        <v>1</v>
      </c>
      <c r="JD550" s="4" t="s">
        <v>1</v>
      </c>
      <c r="JE550" t="s">
        <v>810</v>
      </c>
      <c r="JF550">
        <v>100</v>
      </c>
      <c r="JR550" t="s">
        <v>1066</v>
      </c>
      <c r="JS550">
        <v>22.5</v>
      </c>
      <c r="JU550" t="s">
        <v>1</v>
      </c>
      <c r="JW550" t="s">
        <v>1</v>
      </c>
      <c r="JX550">
        <v>0</v>
      </c>
      <c r="JY550">
        <v>100</v>
      </c>
      <c r="JZ550" t="s">
        <v>795</v>
      </c>
      <c r="KA550" t="s">
        <v>636</v>
      </c>
      <c r="KB550" t="s">
        <v>738</v>
      </c>
      <c r="KC550" t="s">
        <v>1</v>
      </c>
      <c r="KD550" t="s">
        <v>1</v>
      </c>
      <c r="KE550" t="s">
        <v>1</v>
      </c>
      <c r="KF550" t="s">
        <v>1</v>
      </c>
      <c r="KG550" t="s">
        <v>1</v>
      </c>
      <c r="KH550" t="s">
        <v>1</v>
      </c>
      <c r="KI550" t="s">
        <v>1</v>
      </c>
      <c r="KJ550" t="s">
        <v>1</v>
      </c>
      <c r="KK550" t="s">
        <v>1</v>
      </c>
    </row>
    <row r="551" spans="1:297" x14ac:dyDescent="0.2">
      <c r="A551">
        <v>519</v>
      </c>
      <c r="B551" t="s">
        <v>705</v>
      </c>
      <c r="C551" t="s">
        <v>643</v>
      </c>
      <c r="D551" t="s">
        <v>633</v>
      </c>
      <c r="E551">
        <v>87</v>
      </c>
      <c r="F551" t="s">
        <v>634</v>
      </c>
      <c r="G551" t="s">
        <v>1</v>
      </c>
      <c r="H551" s="26" t="s">
        <v>1420</v>
      </c>
      <c r="I551" t="s">
        <v>1</v>
      </c>
      <c r="J551" t="s">
        <v>1</v>
      </c>
      <c r="K551" t="s">
        <v>1</v>
      </c>
      <c r="L551" t="s">
        <v>1</v>
      </c>
      <c r="M551" t="s">
        <v>1</v>
      </c>
      <c r="N551" t="s">
        <v>1</v>
      </c>
      <c r="O551" t="s">
        <v>1</v>
      </c>
      <c r="P551" t="s">
        <v>1</v>
      </c>
      <c r="Q551" t="s">
        <v>1</v>
      </c>
      <c r="R551" t="s">
        <v>1</v>
      </c>
      <c r="S551" t="s">
        <v>1</v>
      </c>
      <c r="T551" t="s">
        <v>1</v>
      </c>
      <c r="U551" t="s">
        <v>1</v>
      </c>
      <c r="V551" t="s">
        <v>1</v>
      </c>
      <c r="W551" t="s">
        <v>1</v>
      </c>
      <c r="X551" t="s">
        <v>1</v>
      </c>
      <c r="Y551" t="s">
        <v>1</v>
      </c>
      <c r="Z551" t="s">
        <v>1</v>
      </c>
      <c r="AA551" t="s">
        <v>1</v>
      </c>
      <c r="AB551" t="s">
        <v>1</v>
      </c>
      <c r="AC551" t="s">
        <v>1</v>
      </c>
      <c r="AD551" t="s">
        <v>1</v>
      </c>
      <c r="AE551" t="s">
        <v>1</v>
      </c>
      <c r="AF551" t="s">
        <v>1</v>
      </c>
      <c r="AG551" t="s">
        <v>1</v>
      </c>
      <c r="AH551" t="s">
        <v>1</v>
      </c>
      <c r="AI551" t="s">
        <v>1</v>
      </c>
      <c r="AJ551" t="s">
        <v>1</v>
      </c>
      <c r="AK551" t="s">
        <v>1</v>
      </c>
      <c r="AL551" t="s">
        <v>1</v>
      </c>
      <c r="AM551" t="s">
        <v>1</v>
      </c>
      <c r="AN551">
        <v>519</v>
      </c>
      <c r="AO551">
        <f t="shared" si="69"/>
        <v>519</v>
      </c>
      <c r="AP551">
        <f t="shared" si="72"/>
        <v>87</v>
      </c>
      <c r="AQ551">
        <f t="shared" si="73"/>
        <v>87</v>
      </c>
      <c r="AR551" s="26" t="s">
        <v>1355</v>
      </c>
      <c r="AS551" s="26" t="s">
        <v>1356</v>
      </c>
      <c r="AT551" t="s">
        <v>723</v>
      </c>
      <c r="AU551" t="s">
        <v>792</v>
      </c>
      <c r="AV551" t="s">
        <v>1</v>
      </c>
      <c r="AW551">
        <v>29.6</v>
      </c>
      <c r="AX551">
        <v>52.53</v>
      </c>
      <c r="AY551" t="s">
        <v>737</v>
      </c>
      <c r="BA551" s="3">
        <v>3</v>
      </c>
      <c r="BB551" s="3"/>
      <c r="BC551" s="3"/>
      <c r="BD551" s="3"/>
      <c r="BE551" s="3"/>
      <c r="BF551">
        <v>2009</v>
      </c>
      <c r="BG551" s="24" t="s">
        <v>733</v>
      </c>
      <c r="BH551" s="24" t="s">
        <v>733</v>
      </c>
      <c r="BI551" s="24" t="s">
        <v>733</v>
      </c>
      <c r="BJ551" s="24" t="s">
        <v>732</v>
      </c>
      <c r="BK551" s="24" t="s">
        <v>733</v>
      </c>
      <c r="BL551" s="25" t="s">
        <v>733</v>
      </c>
      <c r="BM551" s="24" t="s">
        <v>733</v>
      </c>
      <c r="BN551" s="24" t="s">
        <v>732</v>
      </c>
      <c r="BO551" s="24" t="s">
        <v>733</v>
      </c>
      <c r="BP551" s="24" t="s">
        <v>733</v>
      </c>
      <c r="BQ551" s="24" t="s">
        <v>945</v>
      </c>
      <c r="BR551" s="24" t="s">
        <v>945</v>
      </c>
      <c r="BS551" s="25" t="s">
        <v>934</v>
      </c>
      <c r="BT551" s="24" t="s">
        <v>934</v>
      </c>
      <c r="BU551" s="24" t="s">
        <v>934</v>
      </c>
      <c r="BV551" s="24" t="s">
        <v>934</v>
      </c>
      <c r="BW551" s="24" t="s">
        <v>934</v>
      </c>
      <c r="BX551" s="24" t="s">
        <v>934</v>
      </c>
      <c r="BY551" s="25" t="s">
        <v>945</v>
      </c>
      <c r="BZ551" t="s">
        <v>1397</v>
      </c>
      <c r="CB551" t="s">
        <v>1395</v>
      </c>
      <c r="CC551" s="4">
        <f>AVERAGE(3200*92%,6468*0.87)</f>
        <v>4285.58</v>
      </c>
      <c r="CD551" s="4"/>
      <c r="CE551" s="4"/>
      <c r="CF551" t="s">
        <v>793</v>
      </c>
      <c r="CG551">
        <v>100</v>
      </c>
      <c r="CH551" t="s">
        <v>805</v>
      </c>
      <c r="CI551" s="28">
        <v>1</v>
      </c>
      <c r="CJ551" s="9" t="s">
        <v>1</v>
      </c>
      <c r="CK551" t="s">
        <v>807</v>
      </c>
      <c r="CL551" s="4">
        <f>AVERAGE(4200,9950)</f>
        <v>7075</v>
      </c>
      <c r="CM551" t="s">
        <v>847</v>
      </c>
      <c r="CN551" s="4">
        <f>AVERAGE(147.9,206.4)</f>
        <v>177.15</v>
      </c>
      <c r="CO551" s="4" t="s">
        <v>1</v>
      </c>
      <c r="CP551" s="4" t="s">
        <v>1</v>
      </c>
      <c r="CQ551" s="4" t="s">
        <v>1</v>
      </c>
      <c r="CR551" s="4" t="s">
        <v>1</v>
      </c>
      <c r="CS551" s="4" t="s">
        <v>1</v>
      </c>
      <c r="CT551" s="4" t="s">
        <v>1</v>
      </c>
      <c r="CU551" s="4" t="s">
        <v>1</v>
      </c>
      <c r="CV551" t="s">
        <v>850</v>
      </c>
      <c r="CW551">
        <v>100</v>
      </c>
      <c r="CX551">
        <v>0</v>
      </c>
      <c r="CY551">
        <v>30</v>
      </c>
      <c r="CZ551" s="26" t="s">
        <v>1358</v>
      </c>
      <c r="DA551" t="s">
        <v>734</v>
      </c>
      <c r="DB551">
        <v>35</v>
      </c>
      <c r="DC551">
        <v>0</v>
      </c>
      <c r="DD551">
        <v>30</v>
      </c>
      <c r="DE551" s="26" t="s">
        <v>1358</v>
      </c>
      <c r="DF551" t="s">
        <v>735</v>
      </c>
      <c r="DG551">
        <v>35</v>
      </c>
      <c r="DH551">
        <v>0</v>
      </c>
      <c r="DI551">
        <v>30</v>
      </c>
      <c r="DJ551" s="26" t="s">
        <v>1358</v>
      </c>
      <c r="DK551" t="s">
        <v>736</v>
      </c>
      <c r="DL551">
        <v>30</v>
      </c>
      <c r="DM551">
        <v>0</v>
      </c>
      <c r="DN551">
        <v>30</v>
      </c>
      <c r="DO551" s="26" t="s">
        <v>1358</v>
      </c>
      <c r="DP551" t="s">
        <v>6</v>
      </c>
      <c r="DQ551" t="s">
        <v>1</v>
      </c>
      <c r="DR551">
        <v>8</v>
      </c>
      <c r="DS551">
        <v>0</v>
      </c>
      <c r="DT551">
        <v>30</v>
      </c>
      <c r="DU551" s="26" t="s">
        <v>1358</v>
      </c>
      <c r="EA551" t="s">
        <v>982</v>
      </c>
      <c r="EB551">
        <v>11.6</v>
      </c>
      <c r="EC551">
        <v>0</v>
      </c>
      <c r="ED551">
        <v>30</v>
      </c>
      <c r="EE551" s="26" t="s">
        <v>1358</v>
      </c>
      <c r="EF551" s="26"/>
      <c r="FZ551" t="s">
        <v>806</v>
      </c>
      <c r="GA551">
        <v>87.5</v>
      </c>
      <c r="GE551" s="26" t="s">
        <v>1358</v>
      </c>
      <c r="HA551" s="5" t="s">
        <v>1069</v>
      </c>
      <c r="HB551" s="4">
        <v>48</v>
      </c>
      <c r="HC551">
        <v>0</v>
      </c>
      <c r="HD551">
        <v>30</v>
      </c>
      <c r="HE551" s="26" t="s">
        <v>1358</v>
      </c>
      <c r="HF551" s="5" t="s">
        <v>1</v>
      </c>
      <c r="HG551" s="4" t="s">
        <v>1</v>
      </c>
      <c r="HH551" t="s">
        <v>1</v>
      </c>
      <c r="HI551" t="s">
        <v>1</v>
      </c>
      <c r="HJ551" t="s">
        <v>1</v>
      </c>
      <c r="HK551" t="s">
        <v>815</v>
      </c>
      <c r="HL551" s="34">
        <v>1.2850000000000001</v>
      </c>
      <c r="HM551">
        <v>0</v>
      </c>
      <c r="HN551">
        <v>30</v>
      </c>
      <c r="HO551" t="s">
        <v>1</v>
      </c>
      <c r="HP551" s="26" t="s">
        <v>1358</v>
      </c>
      <c r="HZ551" t="s">
        <v>969</v>
      </c>
      <c r="IA551">
        <v>300</v>
      </c>
      <c r="IB551" s="10" t="s">
        <v>1</v>
      </c>
      <c r="IC551" s="10"/>
      <c r="ID551" s="10"/>
      <c r="IE551" s="10" t="s">
        <v>1</v>
      </c>
      <c r="IF551" s="10" t="s">
        <v>1</v>
      </c>
      <c r="IG551" s="10"/>
      <c r="IH551" s="10"/>
      <c r="II551" s="10"/>
      <c r="IJ551" s="10"/>
      <c r="IK551" s="10"/>
      <c r="IL551" s="10"/>
      <c r="IM551" s="10"/>
      <c r="IN551" s="10"/>
      <c r="IO551" s="10"/>
      <c r="IP551" s="10"/>
      <c r="IQ551" s="10"/>
      <c r="IR551" s="10"/>
      <c r="IS551" t="s">
        <v>1</v>
      </c>
      <c r="IT551" t="s">
        <v>1</v>
      </c>
      <c r="IW551" t="s">
        <v>1</v>
      </c>
      <c r="IX551" t="s">
        <v>1</v>
      </c>
      <c r="IY551" t="s">
        <v>808</v>
      </c>
      <c r="IZ551">
        <v>8965</v>
      </c>
      <c r="JA551" t="s">
        <v>1</v>
      </c>
      <c r="JB551" s="3" t="s">
        <v>1</v>
      </c>
      <c r="JC551" t="s">
        <v>1</v>
      </c>
      <c r="JD551" s="4" t="s">
        <v>1</v>
      </c>
      <c r="JE551" t="s">
        <v>810</v>
      </c>
      <c r="JF551">
        <v>100</v>
      </c>
      <c r="JR551" t="s">
        <v>1066</v>
      </c>
      <c r="JS551">
        <v>26.5</v>
      </c>
      <c r="JU551" t="s">
        <v>1</v>
      </c>
      <c r="JW551" t="s">
        <v>1</v>
      </c>
      <c r="JX551">
        <v>0</v>
      </c>
      <c r="JY551">
        <v>100</v>
      </c>
      <c r="JZ551" t="s">
        <v>795</v>
      </c>
      <c r="KA551" t="s">
        <v>636</v>
      </c>
      <c r="KB551" t="s">
        <v>738</v>
      </c>
      <c r="KC551" t="s">
        <v>1</v>
      </c>
      <c r="KD551" t="s">
        <v>1</v>
      </c>
      <c r="KE551" t="s">
        <v>1</v>
      </c>
      <c r="KF551" t="s">
        <v>1</v>
      </c>
      <c r="KG551" t="s">
        <v>1</v>
      </c>
      <c r="KH551" t="s">
        <v>1</v>
      </c>
      <c r="KI551" t="s">
        <v>1</v>
      </c>
      <c r="KJ551" t="s">
        <v>1</v>
      </c>
      <c r="KK551" t="s">
        <v>1</v>
      </c>
    </row>
    <row r="552" spans="1:297" x14ac:dyDescent="0.2">
      <c r="A552">
        <v>520</v>
      </c>
      <c r="B552" t="s">
        <v>705</v>
      </c>
      <c r="C552" t="s">
        <v>644</v>
      </c>
      <c r="D552" t="s">
        <v>633</v>
      </c>
      <c r="E552">
        <v>87</v>
      </c>
      <c r="F552" t="s">
        <v>634</v>
      </c>
      <c r="G552" t="s">
        <v>1</v>
      </c>
      <c r="H552" s="26" t="s">
        <v>1420</v>
      </c>
      <c r="I552" t="s">
        <v>1</v>
      </c>
      <c r="J552" t="s">
        <v>1</v>
      </c>
      <c r="K552" t="s">
        <v>1</v>
      </c>
      <c r="L552" t="s">
        <v>1</v>
      </c>
      <c r="M552" t="s">
        <v>1</v>
      </c>
      <c r="N552" t="s">
        <v>1</v>
      </c>
      <c r="O552" t="s">
        <v>1</v>
      </c>
      <c r="P552" t="s">
        <v>1</v>
      </c>
      <c r="Q552" t="s">
        <v>1</v>
      </c>
      <c r="R552" t="s">
        <v>1</v>
      </c>
      <c r="S552" t="s">
        <v>1</v>
      </c>
      <c r="T552" t="s">
        <v>1</v>
      </c>
      <c r="U552" t="s">
        <v>1</v>
      </c>
      <c r="V552" t="s">
        <v>1</v>
      </c>
      <c r="W552" t="s">
        <v>1</v>
      </c>
      <c r="X552" t="s">
        <v>1</v>
      </c>
      <c r="Y552" t="s">
        <v>1</v>
      </c>
      <c r="Z552" t="s">
        <v>1</v>
      </c>
      <c r="AA552" t="s">
        <v>1</v>
      </c>
      <c r="AB552" t="s">
        <v>1</v>
      </c>
      <c r="AC552" t="s">
        <v>1</v>
      </c>
      <c r="AD552" t="s">
        <v>1</v>
      </c>
      <c r="AE552" t="s">
        <v>1</v>
      </c>
      <c r="AF552" t="s">
        <v>1</v>
      </c>
      <c r="AG552" t="s">
        <v>1</v>
      </c>
      <c r="AH552" t="s">
        <v>1</v>
      </c>
      <c r="AI552" t="s">
        <v>1</v>
      </c>
      <c r="AJ552" t="s">
        <v>1</v>
      </c>
      <c r="AK552" t="s">
        <v>1</v>
      </c>
      <c r="AL552" t="s">
        <v>1</v>
      </c>
      <c r="AM552" t="s">
        <v>1</v>
      </c>
      <c r="AN552">
        <v>520</v>
      </c>
      <c r="AO552">
        <f t="shared" si="69"/>
        <v>520</v>
      </c>
      <c r="AP552">
        <f t="shared" si="72"/>
        <v>87</v>
      </c>
      <c r="AQ552">
        <f t="shared" si="73"/>
        <v>87</v>
      </c>
      <c r="AR552" s="26" t="s">
        <v>1355</v>
      </c>
      <c r="AS552" s="26" t="s">
        <v>1356</v>
      </c>
      <c r="AT552" t="s">
        <v>723</v>
      </c>
      <c r="AU552" t="s">
        <v>792</v>
      </c>
      <c r="AV552" t="s">
        <v>1</v>
      </c>
      <c r="AW552">
        <v>29.6</v>
      </c>
      <c r="AX552">
        <v>52.53</v>
      </c>
      <c r="AY552" t="s">
        <v>737</v>
      </c>
      <c r="BA552" s="3">
        <v>3</v>
      </c>
      <c r="BB552" s="3"/>
      <c r="BC552" s="3"/>
      <c r="BD552" s="3"/>
      <c r="BE552" s="3"/>
      <c r="BF552">
        <v>2009</v>
      </c>
      <c r="BG552" s="24" t="s">
        <v>733</v>
      </c>
      <c r="BH552" s="24" t="s">
        <v>733</v>
      </c>
      <c r="BI552" s="24" t="s">
        <v>733</v>
      </c>
      <c r="BJ552" s="24" t="s">
        <v>732</v>
      </c>
      <c r="BK552" s="24" t="s">
        <v>733</v>
      </c>
      <c r="BL552" s="25" t="s">
        <v>733</v>
      </c>
      <c r="BM552" s="24" t="s">
        <v>733</v>
      </c>
      <c r="BN552" s="24" t="s">
        <v>732</v>
      </c>
      <c r="BO552" s="24" t="s">
        <v>733</v>
      </c>
      <c r="BP552" s="24" t="s">
        <v>733</v>
      </c>
      <c r="BQ552" s="24" t="s">
        <v>945</v>
      </c>
      <c r="BR552" s="24" t="s">
        <v>945</v>
      </c>
      <c r="BS552" s="25" t="s">
        <v>934</v>
      </c>
      <c r="BT552" s="24" t="s">
        <v>934</v>
      </c>
      <c r="BU552" s="24" t="s">
        <v>934</v>
      </c>
      <c r="BV552" s="24" t="s">
        <v>934</v>
      </c>
      <c r="BW552" s="24" t="s">
        <v>934</v>
      </c>
      <c r="BX552" s="24" t="s">
        <v>934</v>
      </c>
      <c r="BY552" s="25" t="s">
        <v>945</v>
      </c>
      <c r="BZ552" t="s">
        <v>1397</v>
      </c>
      <c r="CB552" t="s">
        <v>1395</v>
      </c>
      <c r="CC552" s="4">
        <f>AVERAGE(844*92%,1390*0.87)</f>
        <v>992.89</v>
      </c>
      <c r="CD552" s="4"/>
      <c r="CE552" s="4"/>
      <c r="CF552" t="s">
        <v>793</v>
      </c>
      <c r="CG552">
        <v>100</v>
      </c>
      <c r="CH552" t="s">
        <v>805</v>
      </c>
      <c r="CI552" s="28">
        <v>1</v>
      </c>
      <c r="CJ552" s="9" t="s">
        <v>1</v>
      </c>
      <c r="CK552" t="s">
        <v>807</v>
      </c>
      <c r="CL552" s="4">
        <f>AVERAGE(1013,2781)</f>
        <v>1897</v>
      </c>
      <c r="CM552" t="s">
        <v>847</v>
      </c>
      <c r="CN552" s="4">
        <f>AVERAGE(15.3,52.2)</f>
        <v>33.75</v>
      </c>
      <c r="CO552" s="4" t="s">
        <v>1</v>
      </c>
      <c r="CP552" s="4" t="s">
        <v>1</v>
      </c>
      <c r="CQ552" s="4" t="s">
        <v>1</v>
      </c>
      <c r="CR552" s="4" t="s">
        <v>1</v>
      </c>
      <c r="CS552" s="4" t="s">
        <v>1</v>
      </c>
      <c r="CT552" s="4" t="s">
        <v>1</v>
      </c>
      <c r="CU552" s="4" t="s">
        <v>1</v>
      </c>
      <c r="CV552" t="s">
        <v>850</v>
      </c>
      <c r="CW552">
        <v>100</v>
      </c>
      <c r="CX552">
        <v>0</v>
      </c>
      <c r="CY552">
        <v>30</v>
      </c>
      <c r="CZ552" s="26" t="s">
        <v>1358</v>
      </c>
      <c r="DA552" t="s">
        <v>734</v>
      </c>
      <c r="DB552">
        <v>35</v>
      </c>
      <c r="DC552">
        <v>0</v>
      </c>
      <c r="DD552">
        <v>30</v>
      </c>
      <c r="DE552" s="26" t="s">
        <v>1358</v>
      </c>
      <c r="DF552" t="s">
        <v>735</v>
      </c>
      <c r="DG552">
        <v>35</v>
      </c>
      <c r="DH552">
        <v>0</v>
      </c>
      <c r="DI552">
        <v>30</v>
      </c>
      <c r="DJ552" s="26" t="s">
        <v>1358</v>
      </c>
      <c r="DK552" t="s">
        <v>736</v>
      </c>
      <c r="DL552">
        <v>30</v>
      </c>
      <c r="DM552">
        <v>0</v>
      </c>
      <c r="DN552">
        <v>30</v>
      </c>
      <c r="DO552" s="26" t="s">
        <v>1358</v>
      </c>
      <c r="DP552" t="s">
        <v>6</v>
      </c>
      <c r="DQ552" t="s">
        <v>1</v>
      </c>
      <c r="DR552">
        <v>8</v>
      </c>
      <c r="DS552">
        <v>0</v>
      </c>
      <c r="DT552">
        <v>30</v>
      </c>
      <c r="DU552" s="26" t="s">
        <v>1358</v>
      </c>
      <c r="EA552" t="s">
        <v>982</v>
      </c>
      <c r="EB552">
        <v>11.6</v>
      </c>
      <c r="EC552">
        <v>0</v>
      </c>
      <c r="ED552">
        <v>30</v>
      </c>
      <c r="EE552" s="26" t="s">
        <v>1358</v>
      </c>
      <c r="EF552" s="26"/>
      <c r="FZ552" t="s">
        <v>806</v>
      </c>
      <c r="GA552">
        <v>87.5</v>
      </c>
      <c r="GE552" s="26" t="s">
        <v>1358</v>
      </c>
      <c r="HA552" s="5" t="s">
        <v>1069</v>
      </c>
      <c r="HB552" s="4">
        <v>48</v>
      </c>
      <c r="HC552">
        <v>0</v>
      </c>
      <c r="HD552">
        <v>30</v>
      </c>
      <c r="HE552" s="26" t="s">
        <v>1358</v>
      </c>
      <c r="HF552" s="5" t="s">
        <v>1</v>
      </c>
      <c r="HG552" s="4" t="s">
        <v>1</v>
      </c>
      <c r="HH552" t="s">
        <v>1</v>
      </c>
      <c r="HI552" t="s">
        <v>1</v>
      </c>
      <c r="HJ552" t="s">
        <v>1</v>
      </c>
      <c r="HK552" t="s">
        <v>815</v>
      </c>
      <c r="HL552" s="34">
        <v>1.2850000000000001</v>
      </c>
      <c r="HM552">
        <v>0</v>
      </c>
      <c r="HN552">
        <v>30</v>
      </c>
      <c r="HO552" t="s">
        <v>1</v>
      </c>
      <c r="HP552" s="26" t="s">
        <v>1358</v>
      </c>
      <c r="HZ552" t="s">
        <v>1</v>
      </c>
      <c r="IA552" t="s">
        <v>1</v>
      </c>
      <c r="IB552" s="10" t="s">
        <v>1</v>
      </c>
      <c r="IC552" s="10"/>
      <c r="ID552" s="10"/>
      <c r="IE552" s="10" t="s">
        <v>1</v>
      </c>
      <c r="IF552" s="10" t="s">
        <v>1</v>
      </c>
      <c r="IG552" s="10"/>
      <c r="IH552" s="10"/>
      <c r="II552" s="10"/>
      <c r="IJ552" s="10"/>
      <c r="IK552" s="10"/>
      <c r="IL552" s="10"/>
      <c r="IM552" s="10"/>
      <c r="IN552" s="10"/>
      <c r="IO552" s="10"/>
      <c r="IP552" s="10"/>
      <c r="IQ552" s="10"/>
      <c r="IR552" s="10"/>
      <c r="IS552" t="s">
        <v>1</v>
      </c>
      <c r="IT552" t="s">
        <v>1</v>
      </c>
      <c r="IW552" t="s">
        <v>1</v>
      </c>
      <c r="IX552" t="s">
        <v>1</v>
      </c>
      <c r="IY552" t="s">
        <v>808</v>
      </c>
      <c r="IZ552">
        <v>8765.5</v>
      </c>
      <c r="JA552" t="s">
        <v>1</v>
      </c>
      <c r="JB552" s="3" t="s">
        <v>1</v>
      </c>
      <c r="JC552" t="s">
        <v>1</v>
      </c>
      <c r="JD552" s="4" t="s">
        <v>1</v>
      </c>
      <c r="JE552" t="s">
        <v>810</v>
      </c>
      <c r="JF552">
        <v>100</v>
      </c>
      <c r="JR552" t="s">
        <v>1066</v>
      </c>
      <c r="JS552">
        <v>8</v>
      </c>
      <c r="JU552" t="s">
        <v>1</v>
      </c>
      <c r="JW552" t="s">
        <v>1</v>
      </c>
      <c r="JX552">
        <v>0</v>
      </c>
      <c r="JY552">
        <v>100</v>
      </c>
      <c r="JZ552" t="s">
        <v>795</v>
      </c>
      <c r="KA552" t="s">
        <v>636</v>
      </c>
      <c r="KB552" t="s">
        <v>738</v>
      </c>
      <c r="KC552" t="s">
        <v>1</v>
      </c>
      <c r="KD552" t="s">
        <v>1</v>
      </c>
      <c r="KE552" t="s">
        <v>1</v>
      </c>
      <c r="KF552" t="s">
        <v>1</v>
      </c>
      <c r="KG552" t="s">
        <v>1</v>
      </c>
      <c r="KH552" t="s">
        <v>1</v>
      </c>
      <c r="KI552" t="s">
        <v>1</v>
      </c>
      <c r="KJ552" t="s">
        <v>1</v>
      </c>
      <c r="KK552" t="s">
        <v>1</v>
      </c>
    </row>
    <row r="553" spans="1:297" x14ac:dyDescent="0.2">
      <c r="A553">
        <v>521</v>
      </c>
      <c r="B553" t="s">
        <v>705</v>
      </c>
      <c r="C553" t="s">
        <v>645</v>
      </c>
      <c r="D553" t="s">
        <v>633</v>
      </c>
      <c r="E553">
        <v>87</v>
      </c>
      <c r="F553" t="s">
        <v>634</v>
      </c>
      <c r="G553" t="s">
        <v>1</v>
      </c>
      <c r="H553" s="26" t="s">
        <v>1420</v>
      </c>
      <c r="I553" t="s">
        <v>1</v>
      </c>
      <c r="J553" t="s">
        <v>1</v>
      </c>
      <c r="K553" t="s">
        <v>1</v>
      </c>
      <c r="L553" t="s">
        <v>1</v>
      </c>
      <c r="M553" t="s">
        <v>1</v>
      </c>
      <c r="N553" t="s">
        <v>1</v>
      </c>
      <c r="O553" t="s">
        <v>1</v>
      </c>
      <c r="P553" t="s">
        <v>1</v>
      </c>
      <c r="Q553" t="s">
        <v>1</v>
      </c>
      <c r="R553" t="s">
        <v>1</v>
      </c>
      <c r="S553" t="s">
        <v>1</v>
      </c>
      <c r="T553" t="s">
        <v>1</v>
      </c>
      <c r="U553" t="s">
        <v>1</v>
      </c>
      <c r="V553" t="s">
        <v>1</v>
      </c>
      <c r="W553" t="s">
        <v>1</v>
      </c>
      <c r="X553" t="s">
        <v>1</v>
      </c>
      <c r="Y553" t="s">
        <v>1</v>
      </c>
      <c r="Z553" t="s">
        <v>1</v>
      </c>
      <c r="AA553" t="s">
        <v>1</v>
      </c>
      <c r="AB553" t="s">
        <v>1</v>
      </c>
      <c r="AC553" t="s">
        <v>1</v>
      </c>
      <c r="AD553" t="s">
        <v>1</v>
      </c>
      <c r="AE553" t="s">
        <v>1</v>
      </c>
      <c r="AF553" t="s">
        <v>1</v>
      </c>
      <c r="AG553" t="s">
        <v>1</v>
      </c>
      <c r="AH553" t="s">
        <v>1</v>
      </c>
      <c r="AI553" t="s">
        <v>1</v>
      </c>
      <c r="AJ553" t="s">
        <v>1</v>
      </c>
      <c r="AK553" t="s">
        <v>1</v>
      </c>
      <c r="AL553" t="s">
        <v>1</v>
      </c>
      <c r="AM553" t="s">
        <v>1</v>
      </c>
      <c r="AN553">
        <v>521</v>
      </c>
      <c r="AO553">
        <f t="shared" si="69"/>
        <v>521</v>
      </c>
      <c r="AP553">
        <f t="shared" si="72"/>
        <v>87</v>
      </c>
      <c r="AQ553">
        <f t="shared" si="73"/>
        <v>87</v>
      </c>
      <c r="AR553" s="26" t="s">
        <v>1355</v>
      </c>
      <c r="AS553" s="26" t="s">
        <v>1356</v>
      </c>
      <c r="AT553" t="s">
        <v>723</v>
      </c>
      <c r="AU553" t="s">
        <v>792</v>
      </c>
      <c r="AV553" t="s">
        <v>1</v>
      </c>
      <c r="AW553">
        <v>29.6</v>
      </c>
      <c r="AX553">
        <v>52.53</v>
      </c>
      <c r="AY553" t="s">
        <v>737</v>
      </c>
      <c r="BA553" s="3">
        <v>3</v>
      </c>
      <c r="BB553" s="3"/>
      <c r="BC553" s="3"/>
      <c r="BD553" s="3"/>
      <c r="BE553" s="3"/>
      <c r="BF553">
        <v>2009</v>
      </c>
      <c r="BG553" s="24" t="s">
        <v>733</v>
      </c>
      <c r="BH553" s="24" t="s">
        <v>733</v>
      </c>
      <c r="BI553" s="24" t="s">
        <v>733</v>
      </c>
      <c r="BJ553" s="24" t="s">
        <v>732</v>
      </c>
      <c r="BK553" s="24" t="s">
        <v>733</v>
      </c>
      <c r="BL553" s="25" t="s">
        <v>733</v>
      </c>
      <c r="BM553" s="24" t="s">
        <v>733</v>
      </c>
      <c r="BN553" s="24" t="s">
        <v>732</v>
      </c>
      <c r="BO553" s="24" t="s">
        <v>733</v>
      </c>
      <c r="BP553" s="24" t="s">
        <v>733</v>
      </c>
      <c r="BQ553" s="24" t="s">
        <v>945</v>
      </c>
      <c r="BR553" s="24" t="s">
        <v>945</v>
      </c>
      <c r="BS553" s="25" t="s">
        <v>934</v>
      </c>
      <c r="BT553" s="24" t="s">
        <v>934</v>
      </c>
      <c r="BU553" s="24" t="s">
        <v>934</v>
      </c>
      <c r="BV553" s="24" t="s">
        <v>934</v>
      </c>
      <c r="BW553" s="24" t="s">
        <v>934</v>
      </c>
      <c r="BX553" s="24" t="s">
        <v>934</v>
      </c>
      <c r="BY553" s="25" t="s">
        <v>945</v>
      </c>
      <c r="BZ553" t="s">
        <v>1397</v>
      </c>
      <c r="CB553" t="s">
        <v>1395</v>
      </c>
      <c r="CC553" s="4">
        <f>AVERAGE(1054*92%,2314*0.87)</f>
        <v>1491.43</v>
      </c>
      <c r="CD553" s="4"/>
      <c r="CE553" s="4"/>
      <c r="CF553" t="s">
        <v>793</v>
      </c>
      <c r="CG553">
        <v>100</v>
      </c>
      <c r="CH553" t="s">
        <v>805</v>
      </c>
      <c r="CI553" s="28">
        <v>1</v>
      </c>
      <c r="CJ553" s="9" t="s">
        <v>1</v>
      </c>
      <c r="CK553" t="s">
        <v>807</v>
      </c>
      <c r="CL553" s="4">
        <f>AVERAGE(1264,4208)</f>
        <v>2736</v>
      </c>
      <c r="CM553" t="s">
        <v>847</v>
      </c>
      <c r="CN553" s="4">
        <f>AVERAGE(25.3,88)</f>
        <v>56.65</v>
      </c>
      <c r="CO553" s="4" t="s">
        <v>1</v>
      </c>
      <c r="CP553" s="4" t="s">
        <v>1</v>
      </c>
      <c r="CQ553" s="4" t="s">
        <v>1</v>
      </c>
      <c r="CR553" s="4" t="s">
        <v>1</v>
      </c>
      <c r="CS553" s="4" t="s">
        <v>1</v>
      </c>
      <c r="CT553" s="4" t="s">
        <v>1</v>
      </c>
      <c r="CU553" s="4" t="s">
        <v>1</v>
      </c>
      <c r="CV553" t="s">
        <v>850</v>
      </c>
      <c r="CW553">
        <v>100</v>
      </c>
      <c r="CX553">
        <v>0</v>
      </c>
      <c r="CY553">
        <v>30</v>
      </c>
      <c r="CZ553" s="26" t="s">
        <v>1358</v>
      </c>
      <c r="DA553" t="s">
        <v>734</v>
      </c>
      <c r="DB553">
        <v>35</v>
      </c>
      <c r="DC553">
        <v>0</v>
      </c>
      <c r="DD553">
        <v>30</v>
      </c>
      <c r="DE553" s="26" t="s">
        <v>1358</v>
      </c>
      <c r="DF553" t="s">
        <v>735</v>
      </c>
      <c r="DG553">
        <v>35</v>
      </c>
      <c r="DH553">
        <v>0</v>
      </c>
      <c r="DI553">
        <v>30</v>
      </c>
      <c r="DJ553" s="26" t="s">
        <v>1358</v>
      </c>
      <c r="DK553" t="s">
        <v>736</v>
      </c>
      <c r="DL553">
        <v>30</v>
      </c>
      <c r="DM553">
        <v>0</v>
      </c>
      <c r="DN553">
        <v>30</v>
      </c>
      <c r="DO553" s="26" t="s">
        <v>1358</v>
      </c>
      <c r="DP553" t="s">
        <v>6</v>
      </c>
      <c r="DQ553" t="s">
        <v>1</v>
      </c>
      <c r="DR553">
        <v>8</v>
      </c>
      <c r="DS553">
        <v>0</v>
      </c>
      <c r="DT553">
        <v>30</v>
      </c>
      <c r="DU553" s="26" t="s">
        <v>1358</v>
      </c>
      <c r="EA553" t="s">
        <v>982</v>
      </c>
      <c r="EB553">
        <v>11.6</v>
      </c>
      <c r="EC553">
        <v>0</v>
      </c>
      <c r="ED553">
        <v>30</v>
      </c>
      <c r="EE553" s="26" t="s">
        <v>1358</v>
      </c>
      <c r="EF553" s="26"/>
      <c r="FZ553" t="s">
        <v>806</v>
      </c>
      <c r="GA553">
        <v>87.5</v>
      </c>
      <c r="GE553" s="26" t="s">
        <v>1358</v>
      </c>
      <c r="HA553" s="5" t="s">
        <v>1069</v>
      </c>
      <c r="HB553" s="4">
        <v>48</v>
      </c>
      <c r="HC553">
        <v>0</v>
      </c>
      <c r="HD553">
        <v>30</v>
      </c>
      <c r="HE553" s="26" t="s">
        <v>1358</v>
      </c>
      <c r="HF553" s="5" t="s">
        <v>1</v>
      </c>
      <c r="HG553" s="4" t="s">
        <v>1</v>
      </c>
      <c r="HH553" t="s">
        <v>1</v>
      </c>
      <c r="HI553" t="s">
        <v>1</v>
      </c>
      <c r="HJ553" t="s">
        <v>1</v>
      </c>
      <c r="HK553" t="s">
        <v>815</v>
      </c>
      <c r="HL553" s="34">
        <v>1.2850000000000001</v>
      </c>
      <c r="HM553">
        <v>0</v>
      </c>
      <c r="HN553">
        <v>30</v>
      </c>
      <c r="HO553" t="s">
        <v>1</v>
      </c>
      <c r="HP553" s="26" t="s">
        <v>1358</v>
      </c>
      <c r="HZ553" t="s">
        <v>969</v>
      </c>
      <c r="IA553">
        <v>100</v>
      </c>
      <c r="IB553" s="10" t="s">
        <v>1</v>
      </c>
      <c r="IC553" s="10"/>
      <c r="ID553" s="10"/>
      <c r="IE553" s="10" t="s">
        <v>1</v>
      </c>
      <c r="IF553" s="10" t="s">
        <v>1</v>
      </c>
      <c r="IG553" s="10"/>
      <c r="IH553" s="10"/>
      <c r="II553" s="10"/>
      <c r="IJ553" s="10"/>
      <c r="IK553" s="10"/>
      <c r="IL553" s="10"/>
      <c r="IM553" s="10"/>
      <c r="IN553" s="10"/>
      <c r="IO553" s="10"/>
      <c r="IP553" s="10"/>
      <c r="IQ553" s="10"/>
      <c r="IR553" s="10"/>
      <c r="IS553" t="s">
        <v>1</v>
      </c>
      <c r="IT553" t="s">
        <v>1</v>
      </c>
      <c r="IW553" t="s">
        <v>1</v>
      </c>
      <c r="IX553" t="s">
        <v>1</v>
      </c>
      <c r="IY553" t="s">
        <v>808</v>
      </c>
      <c r="IZ553">
        <v>8765.5</v>
      </c>
      <c r="JA553" t="s">
        <v>1</v>
      </c>
      <c r="JB553" s="3" t="s">
        <v>1</v>
      </c>
      <c r="JC553" t="s">
        <v>1</v>
      </c>
      <c r="JD553" s="4" t="s">
        <v>1</v>
      </c>
      <c r="JE553" t="s">
        <v>810</v>
      </c>
      <c r="JF553">
        <v>100</v>
      </c>
      <c r="JR553" t="s">
        <v>1066</v>
      </c>
      <c r="JS553">
        <v>9.8000000000000007</v>
      </c>
      <c r="JU553" t="s">
        <v>1</v>
      </c>
      <c r="JW553" t="s">
        <v>1</v>
      </c>
      <c r="JX553">
        <v>0</v>
      </c>
      <c r="JY553">
        <v>100</v>
      </c>
      <c r="JZ553" t="s">
        <v>795</v>
      </c>
      <c r="KA553" t="s">
        <v>636</v>
      </c>
      <c r="KB553" t="s">
        <v>738</v>
      </c>
      <c r="KC553" t="s">
        <v>1</v>
      </c>
      <c r="KD553" t="s">
        <v>1</v>
      </c>
      <c r="KE553" t="s">
        <v>1</v>
      </c>
      <c r="KF553" t="s">
        <v>1</v>
      </c>
      <c r="KG553" t="s">
        <v>1</v>
      </c>
      <c r="KH553" t="s">
        <v>1</v>
      </c>
      <c r="KI553" t="s">
        <v>1</v>
      </c>
      <c r="KJ553" t="s">
        <v>1</v>
      </c>
      <c r="KK553" t="s">
        <v>1</v>
      </c>
    </row>
    <row r="554" spans="1:297" x14ac:dyDescent="0.2">
      <c r="A554">
        <v>522</v>
      </c>
      <c r="B554" t="s">
        <v>705</v>
      </c>
      <c r="C554" t="s">
        <v>646</v>
      </c>
      <c r="D554" t="s">
        <v>633</v>
      </c>
      <c r="E554">
        <v>87</v>
      </c>
      <c r="F554" t="s">
        <v>634</v>
      </c>
      <c r="G554" t="s">
        <v>1</v>
      </c>
      <c r="H554" s="26" t="s">
        <v>1420</v>
      </c>
      <c r="I554" t="s">
        <v>1</v>
      </c>
      <c r="J554" t="s">
        <v>1</v>
      </c>
      <c r="K554" t="s">
        <v>1</v>
      </c>
      <c r="L554" t="s">
        <v>1</v>
      </c>
      <c r="M554" t="s">
        <v>1</v>
      </c>
      <c r="N554" t="s">
        <v>1</v>
      </c>
      <c r="O554" t="s">
        <v>1</v>
      </c>
      <c r="P554" t="s">
        <v>1</v>
      </c>
      <c r="Q554" t="s">
        <v>1</v>
      </c>
      <c r="R554" t="s">
        <v>1</v>
      </c>
      <c r="S554" t="s">
        <v>1</v>
      </c>
      <c r="T554" t="s">
        <v>1</v>
      </c>
      <c r="U554" t="s">
        <v>1</v>
      </c>
      <c r="V554" t="s">
        <v>1</v>
      </c>
      <c r="W554" t="s">
        <v>1</v>
      </c>
      <c r="X554" t="s">
        <v>1</v>
      </c>
      <c r="Y554" t="s">
        <v>1</v>
      </c>
      <c r="Z554" t="s">
        <v>1</v>
      </c>
      <c r="AA554" t="s">
        <v>1</v>
      </c>
      <c r="AB554" t="s">
        <v>1</v>
      </c>
      <c r="AC554" t="s">
        <v>1</v>
      </c>
      <c r="AD554" t="s">
        <v>1</v>
      </c>
      <c r="AE554" t="s">
        <v>1</v>
      </c>
      <c r="AF554" t="s">
        <v>1</v>
      </c>
      <c r="AG554" t="s">
        <v>1</v>
      </c>
      <c r="AH554" t="s">
        <v>1</v>
      </c>
      <c r="AI554" t="s">
        <v>1</v>
      </c>
      <c r="AJ554" t="s">
        <v>1</v>
      </c>
      <c r="AK554" t="s">
        <v>1</v>
      </c>
      <c r="AL554" t="s">
        <v>1</v>
      </c>
      <c r="AM554" t="s">
        <v>1</v>
      </c>
      <c r="AN554">
        <v>522</v>
      </c>
      <c r="AO554">
        <f t="shared" si="69"/>
        <v>522</v>
      </c>
      <c r="AP554">
        <f t="shared" si="72"/>
        <v>87</v>
      </c>
      <c r="AQ554">
        <f t="shared" si="73"/>
        <v>87</v>
      </c>
      <c r="AR554" s="26" t="s">
        <v>1355</v>
      </c>
      <c r="AS554" s="26" t="s">
        <v>1356</v>
      </c>
      <c r="AT554" t="s">
        <v>723</v>
      </c>
      <c r="AU554" t="s">
        <v>792</v>
      </c>
      <c r="AV554" t="s">
        <v>1</v>
      </c>
      <c r="AW554">
        <v>29.6</v>
      </c>
      <c r="AX554">
        <v>52.53</v>
      </c>
      <c r="AY554" t="s">
        <v>737</v>
      </c>
      <c r="BA554" s="3">
        <v>3</v>
      </c>
      <c r="BB554" s="3"/>
      <c r="BC554" s="3"/>
      <c r="BD554" s="3"/>
      <c r="BE554" s="3"/>
      <c r="BF554">
        <v>2009</v>
      </c>
      <c r="BG554" s="24" t="s">
        <v>733</v>
      </c>
      <c r="BH554" s="24" t="s">
        <v>733</v>
      </c>
      <c r="BI554" s="24" t="s">
        <v>733</v>
      </c>
      <c r="BJ554" s="24" t="s">
        <v>732</v>
      </c>
      <c r="BK554" s="24" t="s">
        <v>733</v>
      </c>
      <c r="BL554" s="25" t="s">
        <v>733</v>
      </c>
      <c r="BM554" s="24" t="s">
        <v>733</v>
      </c>
      <c r="BN554" s="24" t="s">
        <v>732</v>
      </c>
      <c r="BO554" s="24" t="s">
        <v>733</v>
      </c>
      <c r="BP554" s="24" t="s">
        <v>733</v>
      </c>
      <c r="BQ554" s="24" t="s">
        <v>945</v>
      </c>
      <c r="BR554" s="24" t="s">
        <v>945</v>
      </c>
      <c r="BS554" s="25" t="s">
        <v>934</v>
      </c>
      <c r="BT554" s="24" t="s">
        <v>934</v>
      </c>
      <c r="BU554" s="24" t="s">
        <v>934</v>
      </c>
      <c r="BV554" s="24" t="s">
        <v>934</v>
      </c>
      <c r="BW554" s="24" t="s">
        <v>934</v>
      </c>
      <c r="BX554" s="24" t="s">
        <v>934</v>
      </c>
      <c r="BY554" s="25" t="s">
        <v>945</v>
      </c>
      <c r="BZ554" t="s">
        <v>1397</v>
      </c>
      <c r="CB554" t="s">
        <v>1395</v>
      </c>
      <c r="CC554" s="4">
        <f>AVERAGE(1812*92%,5747*0.87)</f>
        <v>3333.4650000000001</v>
      </c>
      <c r="CD554" s="4"/>
      <c r="CE554" s="4"/>
      <c r="CF554" t="s">
        <v>793</v>
      </c>
      <c r="CG554">
        <v>100</v>
      </c>
      <c r="CH554" t="s">
        <v>805</v>
      </c>
      <c r="CI554" s="28">
        <v>1</v>
      </c>
      <c r="CJ554" s="9" t="s">
        <v>1</v>
      </c>
      <c r="CK554" t="s">
        <v>807</v>
      </c>
      <c r="CL554" s="4">
        <f>AVERAGE(2174,9578)</f>
        <v>5876</v>
      </c>
      <c r="CM554" t="s">
        <v>847</v>
      </c>
      <c r="CN554" s="4">
        <f>AVERAGE(68.8,185.2)</f>
        <v>127</v>
      </c>
      <c r="CO554" s="4" t="s">
        <v>1</v>
      </c>
      <c r="CP554" s="4" t="s">
        <v>1</v>
      </c>
      <c r="CQ554" s="4" t="s">
        <v>1</v>
      </c>
      <c r="CR554" s="4" t="s">
        <v>1</v>
      </c>
      <c r="CS554" s="4" t="s">
        <v>1</v>
      </c>
      <c r="CT554" s="4" t="s">
        <v>1</v>
      </c>
      <c r="CU554" s="4" t="s">
        <v>1</v>
      </c>
      <c r="CV554" t="s">
        <v>850</v>
      </c>
      <c r="CW554">
        <v>100</v>
      </c>
      <c r="CX554">
        <v>0</v>
      </c>
      <c r="CY554">
        <v>30</v>
      </c>
      <c r="CZ554" s="26" t="s">
        <v>1358</v>
      </c>
      <c r="DA554" t="s">
        <v>734</v>
      </c>
      <c r="DB554">
        <v>35</v>
      </c>
      <c r="DC554">
        <v>0</v>
      </c>
      <c r="DD554">
        <v>30</v>
      </c>
      <c r="DE554" s="26" t="s">
        <v>1358</v>
      </c>
      <c r="DF554" t="s">
        <v>735</v>
      </c>
      <c r="DG554">
        <v>35</v>
      </c>
      <c r="DH554">
        <v>0</v>
      </c>
      <c r="DI554">
        <v>30</v>
      </c>
      <c r="DJ554" s="26" t="s">
        <v>1358</v>
      </c>
      <c r="DK554" t="s">
        <v>736</v>
      </c>
      <c r="DL554">
        <v>30</v>
      </c>
      <c r="DM554">
        <v>0</v>
      </c>
      <c r="DN554">
        <v>30</v>
      </c>
      <c r="DO554" s="26" t="s">
        <v>1358</v>
      </c>
      <c r="DP554" t="s">
        <v>6</v>
      </c>
      <c r="DQ554" t="s">
        <v>1</v>
      </c>
      <c r="DR554">
        <v>8</v>
      </c>
      <c r="DS554">
        <v>0</v>
      </c>
      <c r="DT554">
        <v>30</v>
      </c>
      <c r="DU554" s="26" t="s">
        <v>1358</v>
      </c>
      <c r="EA554" t="s">
        <v>982</v>
      </c>
      <c r="EB554">
        <v>11.6</v>
      </c>
      <c r="EC554">
        <v>0</v>
      </c>
      <c r="ED554">
        <v>30</v>
      </c>
      <c r="EE554" s="26" t="s">
        <v>1358</v>
      </c>
      <c r="EF554" s="26"/>
      <c r="FZ554" t="s">
        <v>806</v>
      </c>
      <c r="GA554">
        <v>87.5</v>
      </c>
      <c r="GE554" s="26" t="s">
        <v>1358</v>
      </c>
      <c r="HA554" s="5" t="s">
        <v>1069</v>
      </c>
      <c r="HB554" s="4">
        <v>48</v>
      </c>
      <c r="HC554">
        <v>0</v>
      </c>
      <c r="HD554">
        <v>30</v>
      </c>
      <c r="HE554" s="26" t="s">
        <v>1358</v>
      </c>
      <c r="HF554" s="5" t="s">
        <v>1</v>
      </c>
      <c r="HG554" s="4" t="s">
        <v>1</v>
      </c>
      <c r="HH554" t="s">
        <v>1</v>
      </c>
      <c r="HI554" t="s">
        <v>1</v>
      </c>
      <c r="HJ554" t="s">
        <v>1</v>
      </c>
      <c r="HK554" t="s">
        <v>815</v>
      </c>
      <c r="HL554" s="34">
        <v>1.2850000000000001</v>
      </c>
      <c r="HM554">
        <v>0</v>
      </c>
      <c r="HN554">
        <v>30</v>
      </c>
      <c r="HO554" t="s">
        <v>1</v>
      </c>
      <c r="HP554" s="26" t="s">
        <v>1358</v>
      </c>
      <c r="HZ554" t="s">
        <v>969</v>
      </c>
      <c r="IA554">
        <v>200</v>
      </c>
      <c r="IB554" s="10" t="s">
        <v>1</v>
      </c>
      <c r="IC554" s="10"/>
      <c r="ID554" s="10"/>
      <c r="IE554" s="10" t="s">
        <v>1</v>
      </c>
      <c r="IF554" s="10" t="s">
        <v>1</v>
      </c>
      <c r="IG554" s="10"/>
      <c r="IH554" s="10"/>
      <c r="II554" s="10"/>
      <c r="IJ554" s="10"/>
      <c r="IK554" s="10"/>
      <c r="IL554" s="10"/>
      <c r="IM554" s="10"/>
      <c r="IN554" s="10"/>
      <c r="IO554" s="10"/>
      <c r="IP554" s="10"/>
      <c r="IQ554" s="10"/>
      <c r="IR554" s="10"/>
      <c r="IS554" t="s">
        <v>1</v>
      </c>
      <c r="IT554" t="s">
        <v>1</v>
      </c>
      <c r="IW554" t="s">
        <v>1</v>
      </c>
      <c r="IX554" t="s">
        <v>1</v>
      </c>
      <c r="IY554" t="s">
        <v>808</v>
      </c>
      <c r="IZ554">
        <v>8765.5</v>
      </c>
      <c r="JA554" t="s">
        <v>1</v>
      </c>
      <c r="JB554" s="3" t="s">
        <v>1</v>
      </c>
      <c r="JC554" t="s">
        <v>1</v>
      </c>
      <c r="JD554" s="4" t="s">
        <v>1</v>
      </c>
      <c r="JE554" t="s">
        <v>810</v>
      </c>
      <c r="JF554">
        <v>100</v>
      </c>
      <c r="JR554" t="s">
        <v>1066</v>
      </c>
      <c r="JS554">
        <v>14.7</v>
      </c>
      <c r="JU554" t="s">
        <v>1</v>
      </c>
      <c r="JW554" t="s">
        <v>1</v>
      </c>
      <c r="JX554">
        <v>0</v>
      </c>
      <c r="JY554">
        <v>100</v>
      </c>
      <c r="JZ554" t="s">
        <v>795</v>
      </c>
      <c r="KA554" t="s">
        <v>636</v>
      </c>
      <c r="KB554" t="s">
        <v>738</v>
      </c>
      <c r="KC554" t="s">
        <v>1</v>
      </c>
      <c r="KD554" t="s">
        <v>1</v>
      </c>
      <c r="KE554" t="s">
        <v>1</v>
      </c>
      <c r="KF554" t="s">
        <v>1</v>
      </c>
      <c r="KG554" t="s">
        <v>1</v>
      </c>
      <c r="KH554" t="s">
        <v>1</v>
      </c>
      <c r="KI554" t="s">
        <v>1</v>
      </c>
      <c r="KJ554" t="s">
        <v>1</v>
      </c>
      <c r="KK554" t="s">
        <v>1</v>
      </c>
    </row>
    <row r="555" spans="1:297" x14ac:dyDescent="0.2">
      <c r="A555">
        <v>523</v>
      </c>
      <c r="B555" t="s">
        <v>705</v>
      </c>
      <c r="C555" t="s">
        <v>647</v>
      </c>
      <c r="D555" t="s">
        <v>633</v>
      </c>
      <c r="E555">
        <v>87</v>
      </c>
      <c r="F555" t="s">
        <v>634</v>
      </c>
      <c r="G555" t="s">
        <v>1</v>
      </c>
      <c r="H555" s="26" t="s">
        <v>1420</v>
      </c>
      <c r="I555" t="s">
        <v>1</v>
      </c>
      <c r="J555" t="s">
        <v>1</v>
      </c>
      <c r="K555" t="s">
        <v>1</v>
      </c>
      <c r="L555" t="s">
        <v>1</v>
      </c>
      <c r="M555" t="s">
        <v>1</v>
      </c>
      <c r="N555" t="s">
        <v>1</v>
      </c>
      <c r="O555" t="s">
        <v>1</v>
      </c>
      <c r="P555" t="s">
        <v>1</v>
      </c>
      <c r="Q555" t="s">
        <v>1</v>
      </c>
      <c r="R555" t="s">
        <v>1</v>
      </c>
      <c r="S555" t="s">
        <v>1</v>
      </c>
      <c r="T555" t="s">
        <v>1</v>
      </c>
      <c r="U555" t="s">
        <v>1</v>
      </c>
      <c r="V555" t="s">
        <v>1</v>
      </c>
      <c r="W555" t="s">
        <v>1</v>
      </c>
      <c r="X555" t="s">
        <v>1</v>
      </c>
      <c r="Y555" t="s">
        <v>1</v>
      </c>
      <c r="Z555" t="s">
        <v>1</v>
      </c>
      <c r="AA555" t="s">
        <v>1</v>
      </c>
      <c r="AB555" t="s">
        <v>1</v>
      </c>
      <c r="AC555" t="s">
        <v>1</v>
      </c>
      <c r="AD555" t="s">
        <v>1</v>
      </c>
      <c r="AE555" t="s">
        <v>1</v>
      </c>
      <c r="AF555" t="s">
        <v>1</v>
      </c>
      <c r="AG555" t="s">
        <v>1</v>
      </c>
      <c r="AH555" t="s">
        <v>1</v>
      </c>
      <c r="AI555" t="s">
        <v>1</v>
      </c>
      <c r="AJ555" t="s">
        <v>1</v>
      </c>
      <c r="AK555" t="s">
        <v>1</v>
      </c>
      <c r="AL555" t="s">
        <v>1</v>
      </c>
      <c r="AM555" t="s">
        <v>1</v>
      </c>
      <c r="AN555">
        <v>523</v>
      </c>
      <c r="AO555">
        <f t="shared" si="69"/>
        <v>523</v>
      </c>
      <c r="AP555">
        <f t="shared" si="72"/>
        <v>87</v>
      </c>
      <c r="AQ555">
        <f t="shared" si="73"/>
        <v>87</v>
      </c>
      <c r="AR555" s="26" t="s">
        <v>1355</v>
      </c>
      <c r="AS555" s="26" t="s">
        <v>1356</v>
      </c>
      <c r="AT555" t="s">
        <v>723</v>
      </c>
      <c r="AU555" t="s">
        <v>792</v>
      </c>
      <c r="AV555" t="s">
        <v>1</v>
      </c>
      <c r="AW555">
        <v>29.6</v>
      </c>
      <c r="AX555">
        <v>52.53</v>
      </c>
      <c r="AY555" t="s">
        <v>737</v>
      </c>
      <c r="BA555" s="3">
        <v>3</v>
      </c>
      <c r="BB555" s="3"/>
      <c r="BC555" s="3"/>
      <c r="BD555" s="3"/>
      <c r="BE555" s="3"/>
      <c r="BF555">
        <v>2009</v>
      </c>
      <c r="BG555" s="24" t="s">
        <v>733</v>
      </c>
      <c r="BH555" s="24" t="s">
        <v>733</v>
      </c>
      <c r="BI555" s="24" t="s">
        <v>733</v>
      </c>
      <c r="BJ555" s="24" t="s">
        <v>732</v>
      </c>
      <c r="BK555" s="24" t="s">
        <v>733</v>
      </c>
      <c r="BL555" s="25" t="s">
        <v>733</v>
      </c>
      <c r="BM555" s="24" t="s">
        <v>733</v>
      </c>
      <c r="BN555" s="24" t="s">
        <v>732</v>
      </c>
      <c r="BO555" s="24" t="s">
        <v>733</v>
      </c>
      <c r="BP555" s="24" t="s">
        <v>733</v>
      </c>
      <c r="BQ555" s="24" t="s">
        <v>945</v>
      </c>
      <c r="BR555" s="24" t="s">
        <v>945</v>
      </c>
      <c r="BS555" s="25" t="s">
        <v>934</v>
      </c>
      <c r="BT555" s="24" t="s">
        <v>934</v>
      </c>
      <c r="BU555" s="24" t="s">
        <v>934</v>
      </c>
      <c r="BV555" s="24" t="s">
        <v>934</v>
      </c>
      <c r="BW555" s="24" t="s">
        <v>934</v>
      </c>
      <c r="BX555" s="24" t="s">
        <v>934</v>
      </c>
      <c r="BY555" s="25" t="s">
        <v>945</v>
      </c>
      <c r="BZ555" t="s">
        <v>1397</v>
      </c>
      <c r="CB555" t="s">
        <v>1395</v>
      </c>
      <c r="CC555" s="4">
        <f>AVERAGE(1850*92%,5987*0.87)</f>
        <v>3455.3449999999998</v>
      </c>
      <c r="CD555" s="4"/>
      <c r="CE555" s="4"/>
      <c r="CF555" t="s">
        <v>793</v>
      </c>
      <c r="CG555">
        <v>100</v>
      </c>
      <c r="CH555" t="s">
        <v>805</v>
      </c>
      <c r="CI555" s="28">
        <v>1</v>
      </c>
      <c r="CJ555" s="9" t="s">
        <v>1</v>
      </c>
      <c r="CK555" t="s">
        <v>807</v>
      </c>
      <c r="CL555" s="4">
        <f>AVERAGE(2320,9211)</f>
        <v>5765.5</v>
      </c>
      <c r="CM555" t="s">
        <v>847</v>
      </c>
      <c r="CN555" s="4">
        <f>AVERAGE(90.6,224.6)</f>
        <v>157.6</v>
      </c>
      <c r="CO555" s="4" t="s">
        <v>1</v>
      </c>
      <c r="CP555" s="4" t="s">
        <v>1</v>
      </c>
      <c r="CQ555" s="4" t="s">
        <v>1</v>
      </c>
      <c r="CR555" s="4" t="s">
        <v>1</v>
      </c>
      <c r="CS555" s="4" t="s">
        <v>1</v>
      </c>
      <c r="CT555" s="4" t="s">
        <v>1</v>
      </c>
      <c r="CU555" s="4" t="s">
        <v>1</v>
      </c>
      <c r="CV555" t="s">
        <v>850</v>
      </c>
      <c r="CW555">
        <v>100</v>
      </c>
      <c r="CX555">
        <v>0</v>
      </c>
      <c r="CY555">
        <v>30</v>
      </c>
      <c r="CZ555" s="26" t="s">
        <v>1358</v>
      </c>
      <c r="DA555" t="s">
        <v>734</v>
      </c>
      <c r="DB555">
        <v>35</v>
      </c>
      <c r="DC555">
        <v>0</v>
      </c>
      <c r="DD555">
        <v>30</v>
      </c>
      <c r="DE555" s="26" t="s">
        <v>1358</v>
      </c>
      <c r="DF555" t="s">
        <v>735</v>
      </c>
      <c r="DG555">
        <v>35</v>
      </c>
      <c r="DH555">
        <v>0</v>
      </c>
      <c r="DI555">
        <v>30</v>
      </c>
      <c r="DJ555" s="26" t="s">
        <v>1358</v>
      </c>
      <c r="DK555" t="s">
        <v>736</v>
      </c>
      <c r="DL555">
        <v>30</v>
      </c>
      <c r="DM555">
        <v>0</v>
      </c>
      <c r="DN555">
        <v>30</v>
      </c>
      <c r="DO555" s="26" t="s">
        <v>1358</v>
      </c>
      <c r="DP555" t="s">
        <v>6</v>
      </c>
      <c r="DQ555" t="s">
        <v>1</v>
      </c>
      <c r="DR555">
        <v>8</v>
      </c>
      <c r="DS555">
        <v>0</v>
      </c>
      <c r="DT555">
        <v>30</v>
      </c>
      <c r="DU555" s="26" t="s">
        <v>1358</v>
      </c>
      <c r="EA555" t="s">
        <v>982</v>
      </c>
      <c r="EB555">
        <v>11.6</v>
      </c>
      <c r="EC555">
        <v>0</v>
      </c>
      <c r="ED555">
        <v>30</v>
      </c>
      <c r="EE555" s="26" t="s">
        <v>1358</v>
      </c>
      <c r="EF555" s="26"/>
      <c r="FZ555" t="s">
        <v>806</v>
      </c>
      <c r="GA555">
        <v>87.5</v>
      </c>
      <c r="GE555" s="26" t="s">
        <v>1358</v>
      </c>
      <c r="HA555" s="5" t="s">
        <v>1069</v>
      </c>
      <c r="HB555" s="4">
        <v>48</v>
      </c>
      <c r="HC555">
        <v>0</v>
      </c>
      <c r="HD555">
        <v>30</v>
      </c>
      <c r="HE555" s="26" t="s">
        <v>1358</v>
      </c>
      <c r="HF555" s="5" t="s">
        <v>1</v>
      </c>
      <c r="HG555" s="4" t="s">
        <v>1</v>
      </c>
      <c r="HH555" t="s">
        <v>1</v>
      </c>
      <c r="HI555" t="s">
        <v>1</v>
      </c>
      <c r="HJ555" t="s">
        <v>1</v>
      </c>
      <c r="HK555" t="s">
        <v>815</v>
      </c>
      <c r="HL555" s="34">
        <v>1.2850000000000001</v>
      </c>
      <c r="HM555">
        <v>0</v>
      </c>
      <c r="HN555">
        <v>30</v>
      </c>
      <c r="HO555" t="s">
        <v>1</v>
      </c>
      <c r="HP555" s="26" t="s">
        <v>1358</v>
      </c>
      <c r="HZ555" t="s">
        <v>969</v>
      </c>
      <c r="IA555">
        <v>300</v>
      </c>
      <c r="IB555" s="10" t="s">
        <v>1</v>
      </c>
      <c r="IC555" s="10"/>
      <c r="ID555" s="10"/>
      <c r="IE555" s="10" t="s">
        <v>1</v>
      </c>
      <c r="IF555" s="10" t="s">
        <v>1</v>
      </c>
      <c r="IG555" s="10"/>
      <c r="IH555" s="10"/>
      <c r="II555" s="10"/>
      <c r="IJ555" s="10"/>
      <c r="IK555" s="10"/>
      <c r="IL555" s="10"/>
      <c r="IM555" s="10"/>
      <c r="IN555" s="10"/>
      <c r="IO555" s="10"/>
      <c r="IP555" s="10"/>
      <c r="IQ555" s="10"/>
      <c r="IR555" s="10"/>
      <c r="IS555" t="s">
        <v>1</v>
      </c>
      <c r="IT555" t="s">
        <v>1</v>
      </c>
      <c r="IW555" t="s">
        <v>1</v>
      </c>
      <c r="IX555" t="s">
        <v>1</v>
      </c>
      <c r="IY555" t="s">
        <v>808</v>
      </c>
      <c r="IZ555">
        <v>8765.5</v>
      </c>
      <c r="JA555" t="s">
        <v>1</v>
      </c>
      <c r="JB555" s="3" t="s">
        <v>1</v>
      </c>
      <c r="JC555" t="s">
        <v>1</v>
      </c>
      <c r="JD555" s="4" t="s">
        <v>1</v>
      </c>
      <c r="JE555" t="s">
        <v>810</v>
      </c>
      <c r="JF555">
        <v>100</v>
      </c>
      <c r="JR555" t="s">
        <v>1066</v>
      </c>
      <c r="JS555">
        <v>20.100000000000001</v>
      </c>
      <c r="JU555" t="s">
        <v>1</v>
      </c>
      <c r="JW555" t="s">
        <v>1</v>
      </c>
      <c r="JX555">
        <v>0</v>
      </c>
      <c r="JY555">
        <v>100</v>
      </c>
      <c r="JZ555" t="s">
        <v>795</v>
      </c>
      <c r="KA555" t="s">
        <v>636</v>
      </c>
      <c r="KB555" t="s">
        <v>738</v>
      </c>
      <c r="KC555" t="s">
        <v>1</v>
      </c>
      <c r="KD555" t="s">
        <v>1</v>
      </c>
      <c r="KE555" t="s">
        <v>1</v>
      </c>
      <c r="KF555" t="s">
        <v>1</v>
      </c>
      <c r="KG555" t="s">
        <v>1</v>
      </c>
      <c r="KH555" t="s">
        <v>1</v>
      </c>
      <c r="KI555" t="s">
        <v>1</v>
      </c>
      <c r="KJ555" t="s">
        <v>1</v>
      </c>
      <c r="KK555" t="s">
        <v>1</v>
      </c>
    </row>
    <row r="556" spans="1:297" x14ac:dyDescent="0.2">
      <c r="A556">
        <v>524</v>
      </c>
      <c r="B556" t="s">
        <v>705</v>
      </c>
      <c r="C556" t="s">
        <v>135</v>
      </c>
      <c r="D556" t="s">
        <v>648</v>
      </c>
      <c r="E556">
        <v>88</v>
      </c>
      <c r="F556" t="s">
        <v>649</v>
      </c>
      <c r="G556" t="s">
        <v>648</v>
      </c>
      <c r="H556" s="26" t="s">
        <v>1420</v>
      </c>
      <c r="I556" t="s">
        <v>785</v>
      </c>
      <c r="J556">
        <v>2008</v>
      </c>
      <c r="K556" t="s">
        <v>1</v>
      </c>
      <c r="L556" t="s">
        <v>1</v>
      </c>
      <c r="M556">
        <v>369</v>
      </c>
      <c r="N556" t="s">
        <v>1</v>
      </c>
      <c r="O556" t="s">
        <v>1</v>
      </c>
      <c r="P556">
        <v>15</v>
      </c>
      <c r="Q556" t="s">
        <v>786</v>
      </c>
      <c r="R556" t="s">
        <v>787</v>
      </c>
      <c r="S556" t="b">
        <v>0</v>
      </c>
      <c r="T556" t="s">
        <v>1</v>
      </c>
      <c r="U556" t="s">
        <v>1</v>
      </c>
      <c r="V556" t="s">
        <v>1</v>
      </c>
      <c r="W556" t="s">
        <v>1</v>
      </c>
      <c r="X556" t="s">
        <v>1</v>
      </c>
      <c r="Y556" t="s">
        <v>1</v>
      </c>
      <c r="Z556" t="s">
        <v>1</v>
      </c>
      <c r="AA556" t="s">
        <v>1</v>
      </c>
      <c r="AB556" t="s">
        <v>1</v>
      </c>
      <c r="AC556" t="s">
        <v>1</v>
      </c>
      <c r="AD556" t="s">
        <v>1</v>
      </c>
      <c r="AE556" t="s">
        <v>1</v>
      </c>
      <c r="AF556" t="s">
        <v>1</v>
      </c>
      <c r="AG556" t="s">
        <v>1</v>
      </c>
      <c r="AH556" t="s">
        <v>1</v>
      </c>
      <c r="AI556" t="s">
        <v>1</v>
      </c>
      <c r="AJ556" t="s">
        <v>1</v>
      </c>
      <c r="AK556" t="s">
        <v>1</v>
      </c>
      <c r="AL556" t="s">
        <v>1</v>
      </c>
      <c r="AM556" t="s">
        <v>1</v>
      </c>
      <c r="AN556">
        <v>524</v>
      </c>
      <c r="AO556">
        <f t="shared" si="69"/>
        <v>524</v>
      </c>
      <c r="AP556">
        <f t="shared" si="72"/>
        <v>88</v>
      </c>
      <c r="AQ556">
        <f t="shared" si="73"/>
        <v>88</v>
      </c>
      <c r="AR556" s="26" t="s">
        <v>1355</v>
      </c>
      <c r="AS556" s="26" t="s">
        <v>1356</v>
      </c>
      <c r="AT556" t="s">
        <v>725</v>
      </c>
      <c r="AU556" t="s">
        <v>1</v>
      </c>
      <c r="AV556" t="s">
        <v>1</v>
      </c>
      <c r="AW556">
        <v>52</v>
      </c>
      <c r="AX556">
        <v>-0.43</v>
      </c>
      <c r="AY556" t="s">
        <v>737</v>
      </c>
      <c r="BA556" s="3">
        <v>3</v>
      </c>
      <c r="BB556" s="3"/>
      <c r="BC556" s="3"/>
      <c r="BD556" s="3"/>
      <c r="BE556" s="3"/>
      <c r="BF556">
        <v>2006</v>
      </c>
      <c r="BG556" s="24" t="s">
        <v>733</v>
      </c>
      <c r="BH556" s="24" t="s">
        <v>733</v>
      </c>
      <c r="BI556" s="24" t="s">
        <v>733</v>
      </c>
      <c r="BJ556" s="24" t="s">
        <v>732</v>
      </c>
      <c r="BK556" s="24" t="s">
        <v>733</v>
      </c>
      <c r="BL556" s="25" t="s">
        <v>733</v>
      </c>
      <c r="BM556" s="24" t="s">
        <v>733</v>
      </c>
      <c r="BN556" s="24" t="s">
        <v>732</v>
      </c>
      <c r="BO556" s="24" t="s">
        <v>733</v>
      </c>
      <c r="BP556" s="24" t="s">
        <v>733</v>
      </c>
      <c r="BQ556" s="24" t="s">
        <v>945</v>
      </c>
      <c r="BR556" s="24" t="s">
        <v>945</v>
      </c>
      <c r="BS556" s="25" t="s">
        <v>934</v>
      </c>
      <c r="BT556" s="24" t="s">
        <v>934</v>
      </c>
      <c r="BU556" s="24" t="s">
        <v>934</v>
      </c>
      <c r="BV556" s="24" t="s">
        <v>934</v>
      </c>
      <c r="BW556" s="24" t="s">
        <v>934</v>
      </c>
      <c r="BX556" s="24" t="s">
        <v>934</v>
      </c>
      <c r="BY556" s="25" t="s">
        <v>945</v>
      </c>
      <c r="BZ556" t="s">
        <v>5</v>
      </c>
      <c r="CB556" t="s">
        <v>1</v>
      </c>
      <c r="CC556" s="4" t="s">
        <v>1</v>
      </c>
      <c r="CD556" s="4"/>
      <c r="CE556" s="4"/>
      <c r="CF556" t="s">
        <v>1</v>
      </c>
      <c r="CG556" t="s">
        <v>1</v>
      </c>
      <c r="CH556" t="s">
        <v>805</v>
      </c>
      <c r="CI556" s="28">
        <v>1</v>
      </c>
      <c r="CJ556" s="10" t="s">
        <v>1442</v>
      </c>
      <c r="CK556" s="9" t="s">
        <v>1</v>
      </c>
      <c r="CL556" s="4" t="s">
        <v>1</v>
      </c>
      <c r="CM556" t="s">
        <v>847</v>
      </c>
      <c r="CN556" s="4">
        <v>8</v>
      </c>
      <c r="CO556" s="4" t="s">
        <v>1</v>
      </c>
      <c r="CP556" s="4" t="s">
        <v>1</v>
      </c>
      <c r="CQ556" s="4" t="s">
        <v>1</v>
      </c>
      <c r="CR556" s="4" t="s">
        <v>1</v>
      </c>
      <c r="CS556" s="4" t="s">
        <v>1</v>
      </c>
      <c r="CT556" s="4" t="s">
        <v>1</v>
      </c>
      <c r="CU556" s="4" t="s">
        <v>1</v>
      </c>
      <c r="CV556" t="s">
        <v>853</v>
      </c>
      <c r="CW556">
        <v>100</v>
      </c>
      <c r="CX556">
        <v>0</v>
      </c>
      <c r="CY556">
        <v>30</v>
      </c>
      <c r="CZ556" s="26" t="s">
        <v>1358</v>
      </c>
      <c r="DA556" t="s">
        <v>734</v>
      </c>
      <c r="DB556">
        <v>99.3</v>
      </c>
      <c r="DC556">
        <v>0</v>
      </c>
      <c r="DD556">
        <v>30</v>
      </c>
      <c r="DE556" s="26" t="s">
        <v>1358</v>
      </c>
      <c r="DF556" t="s">
        <v>735</v>
      </c>
      <c r="DG556">
        <v>0.6</v>
      </c>
      <c r="DH556">
        <v>0</v>
      </c>
      <c r="DI556">
        <v>30</v>
      </c>
      <c r="DJ556" s="26" t="s">
        <v>1358</v>
      </c>
      <c r="DK556" t="s">
        <v>736</v>
      </c>
      <c r="DL556">
        <v>0.1</v>
      </c>
      <c r="DM556">
        <v>0</v>
      </c>
      <c r="DN556">
        <v>30</v>
      </c>
      <c r="DO556" s="26" t="s">
        <v>1358</v>
      </c>
      <c r="DP556" t="s">
        <v>6</v>
      </c>
      <c r="DQ556" t="s">
        <v>1</v>
      </c>
      <c r="DR556">
        <v>7.4</v>
      </c>
      <c r="DS556">
        <v>0</v>
      </c>
      <c r="DT556">
        <v>30</v>
      </c>
      <c r="DU556" s="26" t="s">
        <v>1358</v>
      </c>
      <c r="EA556" t="s">
        <v>982</v>
      </c>
      <c r="EB556">
        <v>8</v>
      </c>
      <c r="EC556">
        <v>0</v>
      </c>
      <c r="ED556">
        <v>30</v>
      </c>
      <c r="EE556" s="26" t="s">
        <v>1358</v>
      </c>
      <c r="EF556" s="26"/>
      <c r="FZ556" t="s">
        <v>806</v>
      </c>
      <c r="GA556">
        <v>412.4</v>
      </c>
      <c r="GE556" s="26" t="s">
        <v>1358</v>
      </c>
      <c r="HA556" s="5" t="s">
        <v>1</v>
      </c>
      <c r="HB556" s="4" t="s">
        <v>1</v>
      </c>
      <c r="HC556" t="s">
        <v>1</v>
      </c>
      <c r="HD556" t="s">
        <v>1</v>
      </c>
      <c r="HE556" t="s">
        <v>1</v>
      </c>
      <c r="HF556" s="5" t="s">
        <v>1063</v>
      </c>
      <c r="HG556" s="4">
        <v>0.3</v>
      </c>
      <c r="HH556">
        <v>0</v>
      </c>
      <c r="HI556">
        <v>30</v>
      </c>
      <c r="HJ556" s="26" t="s">
        <v>1358</v>
      </c>
      <c r="HK556" t="s">
        <v>1</v>
      </c>
      <c r="HL556" t="s">
        <v>1</v>
      </c>
      <c r="HM556" t="s">
        <v>1</v>
      </c>
      <c r="HN556" t="s">
        <v>1</v>
      </c>
      <c r="HO556" t="s">
        <v>1</v>
      </c>
      <c r="HP556" t="s">
        <v>1</v>
      </c>
      <c r="HZ556" t="s">
        <v>1</v>
      </c>
      <c r="IA556" t="s">
        <v>1</v>
      </c>
      <c r="IB556" s="10" t="s">
        <v>1</v>
      </c>
      <c r="IC556" s="10"/>
      <c r="ID556" s="10"/>
      <c r="IE556" s="10" t="s">
        <v>1</v>
      </c>
      <c r="IF556" s="10" t="s">
        <v>1</v>
      </c>
      <c r="IG556" s="10"/>
      <c r="IH556" s="10"/>
      <c r="II556" s="10"/>
      <c r="IJ556" s="10"/>
      <c r="IK556" s="10"/>
      <c r="IL556" s="10"/>
      <c r="IM556" s="10"/>
      <c r="IN556" s="10"/>
      <c r="IO556" s="10"/>
      <c r="IP556" s="10"/>
      <c r="IQ556" s="10"/>
      <c r="IR556" s="10"/>
      <c r="IS556" t="s">
        <v>1</v>
      </c>
      <c r="IT556" t="s">
        <v>1</v>
      </c>
      <c r="IW556" t="s">
        <v>1</v>
      </c>
      <c r="IX556" t="s">
        <v>1</v>
      </c>
      <c r="IY556" t="s">
        <v>808</v>
      </c>
      <c r="IZ556">
        <v>2259</v>
      </c>
      <c r="JA556" t="s">
        <v>1</v>
      </c>
      <c r="JB556" s="3" t="s">
        <v>1</v>
      </c>
      <c r="JC556" t="s">
        <v>1</v>
      </c>
      <c r="JD556" s="4" t="s">
        <v>1</v>
      </c>
      <c r="JE556" t="s">
        <v>810</v>
      </c>
      <c r="JF556">
        <v>100</v>
      </c>
      <c r="JR556" t="s">
        <v>1066</v>
      </c>
      <c r="JS556">
        <v>0.7</v>
      </c>
      <c r="JU556" t="s">
        <v>1</v>
      </c>
      <c r="JW556" t="s">
        <v>1</v>
      </c>
      <c r="JX556">
        <v>0</v>
      </c>
      <c r="JY556">
        <v>85</v>
      </c>
      <c r="JZ556" t="s">
        <v>796</v>
      </c>
      <c r="KA556" t="s">
        <v>650</v>
      </c>
      <c r="KB556" t="s">
        <v>738</v>
      </c>
      <c r="KC556" t="s">
        <v>1</v>
      </c>
      <c r="KD556" t="s">
        <v>1</v>
      </c>
      <c r="KE556" t="s">
        <v>1</v>
      </c>
      <c r="KF556" t="s">
        <v>1</v>
      </c>
      <c r="KG556" t="s">
        <v>1</v>
      </c>
      <c r="KH556" t="s">
        <v>1</v>
      </c>
      <c r="KI556" t="s">
        <v>1</v>
      </c>
      <c r="KJ556" t="s">
        <v>1</v>
      </c>
      <c r="KK556" t="s">
        <v>1</v>
      </c>
    </row>
    <row r="557" spans="1:297" x14ac:dyDescent="0.2">
      <c r="A557">
        <v>525</v>
      </c>
      <c r="B557" t="s">
        <v>705</v>
      </c>
      <c r="C557" t="s">
        <v>651</v>
      </c>
      <c r="D557" t="s">
        <v>648</v>
      </c>
      <c r="E557">
        <v>88</v>
      </c>
      <c r="F557" t="s">
        <v>649</v>
      </c>
      <c r="G557" t="s">
        <v>648</v>
      </c>
      <c r="H557" s="26" t="s">
        <v>1420</v>
      </c>
      <c r="I557" t="s">
        <v>785</v>
      </c>
      <c r="J557">
        <v>2008</v>
      </c>
      <c r="K557" t="s">
        <v>1</v>
      </c>
      <c r="L557" t="s">
        <v>1</v>
      </c>
      <c r="M557">
        <v>369</v>
      </c>
      <c r="N557" t="s">
        <v>1</v>
      </c>
      <c r="O557" t="s">
        <v>1</v>
      </c>
      <c r="P557">
        <v>15</v>
      </c>
      <c r="Q557" t="s">
        <v>786</v>
      </c>
      <c r="R557" t="s">
        <v>787</v>
      </c>
      <c r="S557" t="b">
        <v>0</v>
      </c>
      <c r="T557" t="s">
        <v>1</v>
      </c>
      <c r="U557" t="s">
        <v>1</v>
      </c>
      <c r="V557" t="s">
        <v>1</v>
      </c>
      <c r="W557" t="s">
        <v>1</v>
      </c>
      <c r="X557" t="s">
        <v>1</v>
      </c>
      <c r="Y557" t="s">
        <v>1</v>
      </c>
      <c r="Z557" t="s">
        <v>1</v>
      </c>
      <c r="AA557" t="s">
        <v>1</v>
      </c>
      <c r="AB557" t="s">
        <v>1</v>
      </c>
      <c r="AC557" t="s">
        <v>1</v>
      </c>
      <c r="AD557" t="s">
        <v>1</v>
      </c>
      <c r="AE557" t="s">
        <v>1</v>
      </c>
      <c r="AF557" t="s">
        <v>1</v>
      </c>
      <c r="AG557" t="s">
        <v>1</v>
      </c>
      <c r="AH557" t="s">
        <v>1</v>
      </c>
      <c r="AI557" t="s">
        <v>1</v>
      </c>
      <c r="AJ557" t="s">
        <v>1</v>
      </c>
      <c r="AK557" t="s">
        <v>1</v>
      </c>
      <c r="AL557" t="s">
        <v>1</v>
      </c>
      <c r="AM557" t="s">
        <v>1</v>
      </c>
      <c r="AN557">
        <v>525</v>
      </c>
      <c r="AO557">
        <f t="shared" si="69"/>
        <v>525</v>
      </c>
      <c r="AP557">
        <f t="shared" si="72"/>
        <v>88</v>
      </c>
      <c r="AQ557">
        <f t="shared" si="73"/>
        <v>88</v>
      </c>
      <c r="AR557" s="26" t="s">
        <v>1355</v>
      </c>
      <c r="AS557" s="26" t="s">
        <v>1356</v>
      </c>
      <c r="AT557" t="s">
        <v>725</v>
      </c>
      <c r="AU557" t="s">
        <v>1</v>
      </c>
      <c r="AV557" t="s">
        <v>1</v>
      </c>
      <c r="AW557">
        <v>52</v>
      </c>
      <c r="AX557">
        <v>-0.43</v>
      </c>
      <c r="AY557" t="s">
        <v>737</v>
      </c>
      <c r="BA557" s="3">
        <v>3</v>
      </c>
      <c r="BB557" s="3"/>
      <c r="BC557" s="3"/>
      <c r="BD557" s="3"/>
      <c r="BE557" s="3"/>
      <c r="BF557">
        <v>2006</v>
      </c>
      <c r="BG557" s="24" t="s">
        <v>733</v>
      </c>
      <c r="BH557" s="24" t="s">
        <v>733</v>
      </c>
      <c r="BI557" s="24" t="s">
        <v>733</v>
      </c>
      <c r="BJ557" s="24" t="s">
        <v>732</v>
      </c>
      <c r="BK557" s="24" t="s">
        <v>733</v>
      </c>
      <c r="BL557" s="25" t="s">
        <v>733</v>
      </c>
      <c r="BM557" s="24" t="s">
        <v>733</v>
      </c>
      <c r="BN557" s="24" t="s">
        <v>732</v>
      </c>
      <c r="BO557" s="24" t="s">
        <v>733</v>
      </c>
      <c r="BP557" s="24" t="s">
        <v>733</v>
      </c>
      <c r="BQ557" s="24" t="s">
        <v>945</v>
      </c>
      <c r="BR557" s="24" t="s">
        <v>945</v>
      </c>
      <c r="BS557" s="25" t="s">
        <v>934</v>
      </c>
      <c r="BT557" s="24" t="s">
        <v>934</v>
      </c>
      <c r="BU557" s="24" t="s">
        <v>934</v>
      </c>
      <c r="BV557" s="24" t="s">
        <v>934</v>
      </c>
      <c r="BW557" s="24" t="s">
        <v>934</v>
      </c>
      <c r="BX557" s="24" t="s">
        <v>934</v>
      </c>
      <c r="BY557" s="25" t="s">
        <v>945</v>
      </c>
      <c r="BZ557" t="s">
        <v>5</v>
      </c>
      <c r="CB557" t="s">
        <v>1</v>
      </c>
      <c r="CC557" s="4" t="s">
        <v>1</v>
      </c>
      <c r="CD557" s="4"/>
      <c r="CE557" s="4"/>
      <c r="CF557" t="s">
        <v>1</v>
      </c>
      <c r="CG557" t="s">
        <v>1</v>
      </c>
      <c r="CH557" t="s">
        <v>805</v>
      </c>
      <c r="CI557" s="28">
        <v>1</v>
      </c>
      <c r="CJ557" s="10" t="s">
        <v>1442</v>
      </c>
      <c r="CK557" s="9" t="s">
        <v>1</v>
      </c>
      <c r="CL557" s="4" t="s">
        <v>1</v>
      </c>
      <c r="CM557" t="s">
        <v>847</v>
      </c>
      <c r="CN557" s="4">
        <v>10</v>
      </c>
      <c r="CO557" s="4" t="s">
        <v>1</v>
      </c>
      <c r="CP557" s="4" t="s">
        <v>1</v>
      </c>
      <c r="CQ557" s="4" t="s">
        <v>1</v>
      </c>
      <c r="CR557" s="4" t="s">
        <v>1</v>
      </c>
      <c r="CS557" s="4" t="s">
        <v>1</v>
      </c>
      <c r="CT557" s="4" t="s">
        <v>1</v>
      </c>
      <c r="CU557" s="4" t="s">
        <v>1</v>
      </c>
      <c r="CV557" t="s">
        <v>853</v>
      </c>
      <c r="CW557">
        <v>100</v>
      </c>
      <c r="CX557">
        <v>0</v>
      </c>
      <c r="CY557">
        <v>30</v>
      </c>
      <c r="CZ557" s="26" t="s">
        <v>1358</v>
      </c>
      <c r="DA557" t="s">
        <v>734</v>
      </c>
      <c r="DB557">
        <v>99.3</v>
      </c>
      <c r="DC557">
        <v>0</v>
      </c>
      <c r="DD557">
        <v>30</v>
      </c>
      <c r="DE557" s="26" t="s">
        <v>1358</v>
      </c>
      <c r="DF557" t="s">
        <v>735</v>
      </c>
      <c r="DG557">
        <v>0.6</v>
      </c>
      <c r="DH557">
        <v>0</v>
      </c>
      <c r="DI557">
        <v>30</v>
      </c>
      <c r="DJ557" s="26" t="s">
        <v>1358</v>
      </c>
      <c r="DK557" t="s">
        <v>736</v>
      </c>
      <c r="DL557">
        <v>0.1</v>
      </c>
      <c r="DM557">
        <v>0</v>
      </c>
      <c r="DN557">
        <v>30</v>
      </c>
      <c r="DO557" s="26" t="s">
        <v>1358</v>
      </c>
      <c r="DP557" t="s">
        <v>6</v>
      </c>
      <c r="DQ557" t="s">
        <v>1</v>
      </c>
      <c r="DR557">
        <v>7.4</v>
      </c>
      <c r="DS557">
        <v>0</v>
      </c>
      <c r="DT557">
        <v>30</v>
      </c>
      <c r="DU557" s="26" t="s">
        <v>1358</v>
      </c>
      <c r="EA557" t="s">
        <v>982</v>
      </c>
      <c r="EB557">
        <v>8</v>
      </c>
      <c r="EC557">
        <v>0</v>
      </c>
      <c r="ED557">
        <v>30</v>
      </c>
      <c r="EE557" s="26" t="s">
        <v>1358</v>
      </c>
      <c r="EF557" s="26"/>
      <c r="FZ557" t="s">
        <v>806</v>
      </c>
      <c r="GA557">
        <v>412.4</v>
      </c>
      <c r="GE557" s="26" t="s">
        <v>1358</v>
      </c>
      <c r="HA557" s="5" t="s">
        <v>1</v>
      </c>
      <c r="HB557" s="4" t="s">
        <v>1</v>
      </c>
      <c r="HC557" t="s">
        <v>1</v>
      </c>
      <c r="HD557" t="s">
        <v>1</v>
      </c>
      <c r="HE557" t="s">
        <v>1</v>
      </c>
      <c r="HF557" s="5" t="s">
        <v>1063</v>
      </c>
      <c r="HG557" s="4">
        <v>0.3</v>
      </c>
      <c r="HH557">
        <v>0</v>
      </c>
      <c r="HI557">
        <v>30</v>
      </c>
      <c r="HJ557" s="26" t="s">
        <v>1358</v>
      </c>
      <c r="HK557" t="s">
        <v>1</v>
      </c>
      <c r="HL557" t="s">
        <v>1</v>
      </c>
      <c r="HM557" t="s">
        <v>1</v>
      </c>
      <c r="HN557" t="s">
        <v>1</v>
      </c>
      <c r="HO557" t="s">
        <v>1</v>
      </c>
      <c r="HP557" t="s">
        <v>1</v>
      </c>
      <c r="HZ557" t="s">
        <v>966</v>
      </c>
      <c r="IA557">
        <v>40</v>
      </c>
      <c r="IB557" s="5" t="s">
        <v>1</v>
      </c>
      <c r="IC557" s="5"/>
      <c r="ID557" s="5"/>
      <c r="IE557" s="10" t="s">
        <v>1</v>
      </c>
      <c r="IF557" s="10" t="s">
        <v>1</v>
      </c>
      <c r="IG557" s="10"/>
      <c r="IH557" s="10"/>
      <c r="II557" s="10"/>
      <c r="IJ557" s="10"/>
      <c r="IK557" s="10"/>
      <c r="IL557" s="10"/>
      <c r="IM557" s="10"/>
      <c r="IN557" s="10"/>
      <c r="IO557" s="10"/>
      <c r="IP557" s="10"/>
      <c r="IQ557" s="10"/>
      <c r="IR557" s="10"/>
      <c r="IS557" t="s">
        <v>1</v>
      </c>
      <c r="IT557" t="s">
        <v>1</v>
      </c>
      <c r="IW557" t="s">
        <v>1</v>
      </c>
      <c r="IX557" t="s">
        <v>1</v>
      </c>
      <c r="IY557" t="s">
        <v>808</v>
      </c>
      <c r="IZ557">
        <v>2259</v>
      </c>
      <c r="JA557" t="s">
        <v>1</v>
      </c>
      <c r="JB557" s="3" t="s">
        <v>1</v>
      </c>
      <c r="JC557" t="s">
        <v>1</v>
      </c>
      <c r="JD557" s="4" t="s">
        <v>1</v>
      </c>
      <c r="JE557" t="s">
        <v>810</v>
      </c>
      <c r="JF557">
        <v>100</v>
      </c>
      <c r="JR557" t="s">
        <v>1066</v>
      </c>
      <c r="JS557">
        <v>131.9</v>
      </c>
      <c r="JU557" t="s">
        <v>1</v>
      </c>
      <c r="JW557" t="s">
        <v>1</v>
      </c>
      <c r="JX557">
        <v>0</v>
      </c>
      <c r="JY557">
        <v>85</v>
      </c>
      <c r="JZ557" t="s">
        <v>796</v>
      </c>
      <c r="KA557" t="s">
        <v>650</v>
      </c>
      <c r="KB557" t="s">
        <v>738</v>
      </c>
      <c r="KC557" t="s">
        <v>1</v>
      </c>
      <c r="KD557" t="s">
        <v>1</v>
      </c>
      <c r="KE557" t="s">
        <v>1</v>
      </c>
      <c r="KF557" t="s">
        <v>1</v>
      </c>
      <c r="KG557" t="s">
        <v>1</v>
      </c>
      <c r="KH557" t="s">
        <v>1</v>
      </c>
      <c r="KI557" t="s">
        <v>1</v>
      </c>
      <c r="KJ557" t="s">
        <v>1</v>
      </c>
      <c r="KK557" t="s">
        <v>1</v>
      </c>
    </row>
    <row r="558" spans="1:297" x14ac:dyDescent="0.2">
      <c r="A558">
        <v>526</v>
      </c>
      <c r="B558" t="s">
        <v>705</v>
      </c>
      <c r="C558" t="s">
        <v>652</v>
      </c>
      <c r="D558" t="s">
        <v>648</v>
      </c>
      <c r="E558">
        <v>88</v>
      </c>
      <c r="F558" t="s">
        <v>649</v>
      </c>
      <c r="G558" t="s">
        <v>648</v>
      </c>
      <c r="H558" s="26" t="s">
        <v>1420</v>
      </c>
      <c r="I558" t="s">
        <v>785</v>
      </c>
      <c r="J558">
        <v>2008</v>
      </c>
      <c r="K558" t="s">
        <v>1</v>
      </c>
      <c r="L558" t="s">
        <v>1</v>
      </c>
      <c r="M558">
        <v>369</v>
      </c>
      <c r="N558" t="s">
        <v>1</v>
      </c>
      <c r="O558" t="s">
        <v>1</v>
      </c>
      <c r="P558">
        <v>15</v>
      </c>
      <c r="Q558" t="s">
        <v>786</v>
      </c>
      <c r="R558" t="s">
        <v>787</v>
      </c>
      <c r="S558" t="b">
        <v>0</v>
      </c>
      <c r="T558" t="s">
        <v>1</v>
      </c>
      <c r="U558" t="s">
        <v>1</v>
      </c>
      <c r="V558" t="s">
        <v>1</v>
      </c>
      <c r="W558" t="s">
        <v>1</v>
      </c>
      <c r="X558" t="s">
        <v>1</v>
      </c>
      <c r="Y558" t="s">
        <v>1</v>
      </c>
      <c r="Z558" t="s">
        <v>1</v>
      </c>
      <c r="AA558" t="s">
        <v>1</v>
      </c>
      <c r="AB558" t="s">
        <v>1</v>
      </c>
      <c r="AC558" t="s">
        <v>1</v>
      </c>
      <c r="AD558" t="s">
        <v>1</v>
      </c>
      <c r="AE558" t="s">
        <v>1</v>
      </c>
      <c r="AF558" t="s">
        <v>1</v>
      </c>
      <c r="AG558" t="s">
        <v>1</v>
      </c>
      <c r="AH558" t="s">
        <v>1</v>
      </c>
      <c r="AI558" t="s">
        <v>1</v>
      </c>
      <c r="AJ558" t="s">
        <v>1</v>
      </c>
      <c r="AK558" t="s">
        <v>1</v>
      </c>
      <c r="AL558" t="s">
        <v>1</v>
      </c>
      <c r="AM558" t="s">
        <v>1</v>
      </c>
      <c r="AN558">
        <v>526</v>
      </c>
      <c r="AO558">
        <f t="shared" si="69"/>
        <v>526</v>
      </c>
      <c r="AP558">
        <f t="shared" si="72"/>
        <v>88</v>
      </c>
      <c r="AQ558">
        <f t="shared" si="73"/>
        <v>88</v>
      </c>
      <c r="AR558" s="26" t="s">
        <v>1355</v>
      </c>
      <c r="AS558" s="26" t="s">
        <v>1356</v>
      </c>
      <c r="AT558" t="s">
        <v>725</v>
      </c>
      <c r="AU558" t="s">
        <v>1</v>
      </c>
      <c r="AV558" t="s">
        <v>1</v>
      </c>
      <c r="AW558">
        <v>52</v>
      </c>
      <c r="AX558">
        <v>-0.43</v>
      </c>
      <c r="AY558" t="s">
        <v>737</v>
      </c>
      <c r="BA558" s="3">
        <v>3</v>
      </c>
      <c r="BB558" s="3"/>
      <c r="BC558" s="3"/>
      <c r="BD558" s="3"/>
      <c r="BE558" s="3"/>
      <c r="BF558">
        <v>2006</v>
      </c>
      <c r="BG558" s="24" t="s">
        <v>733</v>
      </c>
      <c r="BH558" s="24" t="s">
        <v>733</v>
      </c>
      <c r="BI558" s="24" t="s">
        <v>733</v>
      </c>
      <c r="BJ558" s="24" t="s">
        <v>732</v>
      </c>
      <c r="BK558" s="24" t="s">
        <v>733</v>
      </c>
      <c r="BL558" s="25" t="s">
        <v>733</v>
      </c>
      <c r="BM558" s="24" t="s">
        <v>733</v>
      </c>
      <c r="BN558" s="24" t="s">
        <v>732</v>
      </c>
      <c r="BO558" s="24" t="s">
        <v>733</v>
      </c>
      <c r="BP558" s="24" t="s">
        <v>733</v>
      </c>
      <c r="BQ558" s="24" t="s">
        <v>945</v>
      </c>
      <c r="BR558" s="24" t="s">
        <v>945</v>
      </c>
      <c r="BS558" s="25" t="s">
        <v>934</v>
      </c>
      <c r="BT558" s="24" t="s">
        <v>934</v>
      </c>
      <c r="BU558" s="24" t="s">
        <v>934</v>
      </c>
      <c r="BV558" s="24" t="s">
        <v>934</v>
      </c>
      <c r="BW558" s="24" t="s">
        <v>934</v>
      </c>
      <c r="BX558" s="24" t="s">
        <v>934</v>
      </c>
      <c r="BY558" s="25" t="s">
        <v>945</v>
      </c>
      <c r="BZ558" t="s">
        <v>5</v>
      </c>
      <c r="CB558" t="s">
        <v>1</v>
      </c>
      <c r="CC558" s="4" t="s">
        <v>1</v>
      </c>
      <c r="CD558" s="4"/>
      <c r="CE558" s="4"/>
      <c r="CF558" t="s">
        <v>1</v>
      </c>
      <c r="CG558" t="s">
        <v>1</v>
      </c>
      <c r="CH558" t="s">
        <v>805</v>
      </c>
      <c r="CI558" s="28">
        <v>1</v>
      </c>
      <c r="CJ558" s="10" t="s">
        <v>1442</v>
      </c>
      <c r="CK558" s="9" t="s">
        <v>1</v>
      </c>
      <c r="CL558" s="4" t="s">
        <v>1</v>
      </c>
      <c r="CM558" t="s">
        <v>847</v>
      </c>
      <c r="CN558" s="4">
        <v>21</v>
      </c>
      <c r="CO558" s="4" t="s">
        <v>1</v>
      </c>
      <c r="CP558" s="4" t="s">
        <v>1</v>
      </c>
      <c r="CQ558" s="4" t="s">
        <v>1</v>
      </c>
      <c r="CR558" s="4" t="s">
        <v>1</v>
      </c>
      <c r="CS558" s="4" t="s">
        <v>1</v>
      </c>
      <c r="CT558" s="4" t="s">
        <v>1</v>
      </c>
      <c r="CU558" s="4" t="s">
        <v>1</v>
      </c>
      <c r="CV558" t="s">
        <v>853</v>
      </c>
      <c r="CW558">
        <v>100</v>
      </c>
      <c r="CX558">
        <v>0</v>
      </c>
      <c r="CY558">
        <v>30</v>
      </c>
      <c r="CZ558" s="26" t="s">
        <v>1358</v>
      </c>
      <c r="DA558" t="s">
        <v>734</v>
      </c>
      <c r="DB558">
        <v>99.3</v>
      </c>
      <c r="DC558">
        <v>0</v>
      </c>
      <c r="DD558">
        <v>30</v>
      </c>
      <c r="DE558" s="26" t="s">
        <v>1358</v>
      </c>
      <c r="DF558" t="s">
        <v>735</v>
      </c>
      <c r="DG558">
        <v>0.6</v>
      </c>
      <c r="DH558">
        <v>0</v>
      </c>
      <c r="DI558">
        <v>30</v>
      </c>
      <c r="DJ558" s="26" t="s">
        <v>1358</v>
      </c>
      <c r="DK558" t="s">
        <v>736</v>
      </c>
      <c r="DL558">
        <v>0.1</v>
      </c>
      <c r="DM558">
        <v>0</v>
      </c>
      <c r="DN558">
        <v>30</v>
      </c>
      <c r="DO558" s="26" t="s">
        <v>1358</v>
      </c>
      <c r="DP558" t="s">
        <v>6</v>
      </c>
      <c r="DQ558" t="s">
        <v>1</v>
      </c>
      <c r="DR558">
        <v>7.4</v>
      </c>
      <c r="DS558">
        <v>0</v>
      </c>
      <c r="DT558">
        <v>30</v>
      </c>
      <c r="DU558" s="26" t="s">
        <v>1358</v>
      </c>
      <c r="EA558" t="s">
        <v>982</v>
      </c>
      <c r="EB558">
        <v>8</v>
      </c>
      <c r="EC558">
        <v>0</v>
      </c>
      <c r="ED558">
        <v>30</v>
      </c>
      <c r="EE558" s="26" t="s">
        <v>1358</v>
      </c>
      <c r="EF558" s="26"/>
      <c r="FZ558" t="s">
        <v>806</v>
      </c>
      <c r="GA558">
        <v>412.4</v>
      </c>
      <c r="GE558" s="26" t="s">
        <v>1358</v>
      </c>
      <c r="HA558" s="5" t="s">
        <v>1</v>
      </c>
      <c r="HB558" s="4" t="s">
        <v>1</v>
      </c>
      <c r="HC558" t="s">
        <v>1</v>
      </c>
      <c r="HD558" t="s">
        <v>1</v>
      </c>
      <c r="HE558" t="s">
        <v>1</v>
      </c>
      <c r="HF558" s="5" t="s">
        <v>1063</v>
      </c>
      <c r="HG558" s="4">
        <v>0.3</v>
      </c>
      <c r="HH558">
        <v>0</v>
      </c>
      <c r="HI558">
        <v>30</v>
      </c>
      <c r="HJ558" s="26" t="s">
        <v>1358</v>
      </c>
      <c r="HK558" t="s">
        <v>1</v>
      </c>
      <c r="HL558" t="s">
        <v>1</v>
      </c>
      <c r="HM558" t="s">
        <v>1</v>
      </c>
      <c r="HN558" t="s">
        <v>1</v>
      </c>
      <c r="HO558" t="s">
        <v>1</v>
      </c>
      <c r="HP558" t="s">
        <v>1</v>
      </c>
      <c r="HZ558" t="s">
        <v>966</v>
      </c>
      <c r="IA558">
        <v>80</v>
      </c>
      <c r="IB558" s="5" t="s">
        <v>1</v>
      </c>
      <c r="IC558" s="5"/>
      <c r="ID558" s="5"/>
      <c r="IE558" s="10" t="s">
        <v>1</v>
      </c>
      <c r="IF558" s="10" t="s">
        <v>1</v>
      </c>
      <c r="IG558" s="10"/>
      <c r="IH558" s="10"/>
      <c r="II558" s="10"/>
      <c r="IJ558" s="10"/>
      <c r="IK558" s="10"/>
      <c r="IL558" s="10"/>
      <c r="IM558" s="10"/>
      <c r="IN558" s="10"/>
      <c r="IO558" s="10"/>
      <c r="IP558" s="10"/>
      <c r="IQ558" s="10"/>
      <c r="IR558" s="10"/>
      <c r="IS558" t="s">
        <v>1</v>
      </c>
      <c r="IT558" t="s">
        <v>1</v>
      </c>
      <c r="IW558" t="s">
        <v>1</v>
      </c>
      <c r="IX558" t="s">
        <v>1</v>
      </c>
      <c r="IY558" t="s">
        <v>808</v>
      </c>
      <c r="IZ558">
        <v>2259</v>
      </c>
      <c r="JA558" t="s">
        <v>1</v>
      </c>
      <c r="JB558" s="3" t="s">
        <v>1</v>
      </c>
      <c r="JC558" t="s">
        <v>1</v>
      </c>
      <c r="JD558" s="4" t="s">
        <v>1</v>
      </c>
      <c r="JE558" t="s">
        <v>810</v>
      </c>
      <c r="JF558">
        <v>100</v>
      </c>
      <c r="JR558" t="s">
        <v>1066</v>
      </c>
      <c r="JS558">
        <v>216.5</v>
      </c>
      <c r="JU558" t="s">
        <v>1</v>
      </c>
      <c r="JW558" t="s">
        <v>1</v>
      </c>
      <c r="JX558">
        <v>0</v>
      </c>
      <c r="JY558">
        <v>85</v>
      </c>
      <c r="JZ558" t="s">
        <v>796</v>
      </c>
      <c r="KA558" t="s">
        <v>650</v>
      </c>
      <c r="KB558" t="s">
        <v>738</v>
      </c>
      <c r="KC558" t="s">
        <v>1</v>
      </c>
      <c r="KD558" t="s">
        <v>1</v>
      </c>
      <c r="KE558" t="s">
        <v>1</v>
      </c>
      <c r="KF558" t="s">
        <v>1</v>
      </c>
      <c r="KG558" t="s">
        <v>1</v>
      </c>
      <c r="KH558" t="s">
        <v>1</v>
      </c>
      <c r="KI558" t="s">
        <v>1</v>
      </c>
      <c r="KJ558" t="s">
        <v>1</v>
      </c>
      <c r="KK558" t="s">
        <v>1</v>
      </c>
    </row>
    <row r="559" spans="1:297" x14ac:dyDescent="0.2">
      <c r="A559">
        <v>527</v>
      </c>
      <c r="B559" t="s">
        <v>705</v>
      </c>
      <c r="C559" t="s">
        <v>653</v>
      </c>
      <c r="D559" t="s">
        <v>648</v>
      </c>
      <c r="E559">
        <v>88</v>
      </c>
      <c r="F559" t="s">
        <v>649</v>
      </c>
      <c r="G559" t="s">
        <v>648</v>
      </c>
      <c r="H559" s="26" t="s">
        <v>1420</v>
      </c>
      <c r="I559" t="s">
        <v>785</v>
      </c>
      <c r="J559">
        <v>2008</v>
      </c>
      <c r="K559" t="s">
        <v>1</v>
      </c>
      <c r="L559" t="s">
        <v>1</v>
      </c>
      <c r="M559">
        <v>369</v>
      </c>
      <c r="N559" t="s">
        <v>1</v>
      </c>
      <c r="O559" t="s">
        <v>1</v>
      </c>
      <c r="P559">
        <v>15</v>
      </c>
      <c r="Q559" t="s">
        <v>786</v>
      </c>
      <c r="R559" t="s">
        <v>787</v>
      </c>
      <c r="S559" t="b">
        <v>0</v>
      </c>
      <c r="T559" t="s">
        <v>1</v>
      </c>
      <c r="U559" t="s">
        <v>1</v>
      </c>
      <c r="V559" t="s">
        <v>1</v>
      </c>
      <c r="W559" t="s">
        <v>1</v>
      </c>
      <c r="X559" t="s">
        <v>1</v>
      </c>
      <c r="Y559" t="s">
        <v>1</v>
      </c>
      <c r="Z559" t="s">
        <v>1</v>
      </c>
      <c r="AA559" t="s">
        <v>1</v>
      </c>
      <c r="AB559" t="s">
        <v>1</v>
      </c>
      <c r="AC559" t="s">
        <v>1</v>
      </c>
      <c r="AD559" t="s">
        <v>1</v>
      </c>
      <c r="AE559" t="s">
        <v>1</v>
      </c>
      <c r="AF559" t="s">
        <v>1</v>
      </c>
      <c r="AG559" t="s">
        <v>1</v>
      </c>
      <c r="AH559" t="s">
        <v>1</v>
      </c>
      <c r="AI559" t="s">
        <v>1</v>
      </c>
      <c r="AJ559" t="s">
        <v>1</v>
      </c>
      <c r="AK559" t="s">
        <v>1</v>
      </c>
      <c r="AL559" t="s">
        <v>1</v>
      </c>
      <c r="AM559" t="s">
        <v>1</v>
      </c>
      <c r="AN559">
        <v>527</v>
      </c>
      <c r="AO559">
        <f t="shared" si="69"/>
        <v>527</v>
      </c>
      <c r="AP559">
        <f t="shared" si="72"/>
        <v>88</v>
      </c>
      <c r="AQ559">
        <f t="shared" si="73"/>
        <v>88</v>
      </c>
      <c r="AR559" s="26" t="s">
        <v>1355</v>
      </c>
      <c r="AS559" s="26" t="s">
        <v>1356</v>
      </c>
      <c r="AT559" t="s">
        <v>725</v>
      </c>
      <c r="AU559" t="s">
        <v>1</v>
      </c>
      <c r="AV559" t="s">
        <v>1</v>
      </c>
      <c r="AW559">
        <v>52</v>
      </c>
      <c r="AX559">
        <v>-0.43</v>
      </c>
      <c r="AY559" t="s">
        <v>737</v>
      </c>
      <c r="BA559" s="3">
        <v>3</v>
      </c>
      <c r="BB559" s="3"/>
      <c r="BC559" s="3"/>
      <c r="BD559" s="3"/>
      <c r="BE559" s="3"/>
      <c r="BF559">
        <v>2006</v>
      </c>
      <c r="BG559" s="24" t="s">
        <v>733</v>
      </c>
      <c r="BH559" s="24" t="s">
        <v>733</v>
      </c>
      <c r="BI559" s="24" t="s">
        <v>733</v>
      </c>
      <c r="BJ559" s="24" t="s">
        <v>732</v>
      </c>
      <c r="BK559" s="24" t="s">
        <v>733</v>
      </c>
      <c r="BL559" s="25" t="s">
        <v>733</v>
      </c>
      <c r="BM559" s="24" t="s">
        <v>733</v>
      </c>
      <c r="BN559" s="24" t="s">
        <v>732</v>
      </c>
      <c r="BO559" s="24" t="s">
        <v>733</v>
      </c>
      <c r="BP559" s="24" t="s">
        <v>733</v>
      </c>
      <c r="BQ559" s="24" t="s">
        <v>945</v>
      </c>
      <c r="BR559" s="24" t="s">
        <v>945</v>
      </c>
      <c r="BS559" s="25" t="s">
        <v>934</v>
      </c>
      <c r="BT559" s="24" t="s">
        <v>934</v>
      </c>
      <c r="BU559" s="24" t="s">
        <v>934</v>
      </c>
      <c r="BV559" s="24" t="s">
        <v>934</v>
      </c>
      <c r="BW559" s="24" t="s">
        <v>934</v>
      </c>
      <c r="BX559" s="24" t="s">
        <v>934</v>
      </c>
      <c r="BY559" s="25" t="s">
        <v>945</v>
      </c>
      <c r="BZ559" t="s">
        <v>5</v>
      </c>
      <c r="CB559" t="s">
        <v>1</v>
      </c>
      <c r="CC559" s="4" t="s">
        <v>1</v>
      </c>
      <c r="CD559" s="4"/>
      <c r="CE559" s="4"/>
      <c r="CF559" t="s">
        <v>1</v>
      </c>
      <c r="CG559" t="s">
        <v>1</v>
      </c>
      <c r="CH559" t="s">
        <v>805</v>
      </c>
      <c r="CI559" s="28">
        <v>1</v>
      </c>
      <c r="CJ559" s="10" t="s">
        <v>1442</v>
      </c>
      <c r="CK559" s="9" t="s">
        <v>1</v>
      </c>
      <c r="CL559" s="4" t="s">
        <v>1</v>
      </c>
      <c r="CM559" t="s">
        <v>847</v>
      </c>
      <c r="CN559" s="4">
        <v>13</v>
      </c>
      <c r="CO559" s="4" t="s">
        <v>1</v>
      </c>
      <c r="CP559" s="4" t="s">
        <v>1</v>
      </c>
      <c r="CQ559" s="4" t="s">
        <v>1</v>
      </c>
      <c r="CR559" s="4" t="s">
        <v>1</v>
      </c>
      <c r="CS559" s="4" t="s">
        <v>1</v>
      </c>
      <c r="CT559" s="4" t="s">
        <v>1</v>
      </c>
      <c r="CU559" s="4" t="s">
        <v>1</v>
      </c>
      <c r="CV559" t="s">
        <v>853</v>
      </c>
      <c r="CW559">
        <v>100</v>
      </c>
      <c r="CX559">
        <v>0</v>
      </c>
      <c r="CY559">
        <v>30</v>
      </c>
      <c r="CZ559" s="26" t="s">
        <v>1358</v>
      </c>
      <c r="DA559" t="s">
        <v>734</v>
      </c>
      <c r="DB559">
        <v>99.3</v>
      </c>
      <c r="DC559">
        <v>0</v>
      </c>
      <c r="DD559">
        <v>30</v>
      </c>
      <c r="DE559" s="26" t="s">
        <v>1358</v>
      </c>
      <c r="DF559" t="s">
        <v>735</v>
      </c>
      <c r="DG559">
        <v>0.6</v>
      </c>
      <c r="DH559">
        <v>0</v>
      </c>
      <c r="DI559">
        <v>30</v>
      </c>
      <c r="DJ559" s="26" t="s">
        <v>1358</v>
      </c>
      <c r="DK559" t="s">
        <v>736</v>
      </c>
      <c r="DL559">
        <v>0.1</v>
      </c>
      <c r="DM559">
        <v>0</v>
      </c>
      <c r="DN559">
        <v>30</v>
      </c>
      <c r="DO559" s="26" t="s">
        <v>1358</v>
      </c>
      <c r="DP559" t="s">
        <v>6</v>
      </c>
      <c r="DQ559" t="s">
        <v>1</v>
      </c>
      <c r="DR559">
        <v>7.4</v>
      </c>
      <c r="DS559">
        <v>0</v>
      </c>
      <c r="DT559">
        <v>30</v>
      </c>
      <c r="DU559" s="26" t="s">
        <v>1358</v>
      </c>
      <c r="EA559" t="s">
        <v>982</v>
      </c>
      <c r="EB559">
        <v>8</v>
      </c>
      <c r="EC559">
        <v>0</v>
      </c>
      <c r="ED559">
        <v>30</v>
      </c>
      <c r="EE559" s="26" t="s">
        <v>1358</v>
      </c>
      <c r="EF559" s="26"/>
      <c r="FZ559" t="s">
        <v>806</v>
      </c>
      <c r="GA559">
        <v>412.4</v>
      </c>
      <c r="GE559" s="26" t="s">
        <v>1358</v>
      </c>
      <c r="HA559" s="5" t="s">
        <v>1</v>
      </c>
      <c r="HB559" s="4" t="s">
        <v>1</v>
      </c>
      <c r="HC559" t="s">
        <v>1</v>
      </c>
      <c r="HD559" t="s">
        <v>1</v>
      </c>
      <c r="HE559" t="s">
        <v>1</v>
      </c>
      <c r="HF559" s="5" t="s">
        <v>1063</v>
      </c>
      <c r="HG559" s="4">
        <v>0.3</v>
      </c>
      <c r="HH559">
        <v>0</v>
      </c>
      <c r="HI559">
        <v>30</v>
      </c>
      <c r="HJ559" s="26" t="s">
        <v>1358</v>
      </c>
      <c r="HK559" t="s">
        <v>1</v>
      </c>
      <c r="HL559" t="s">
        <v>1</v>
      </c>
      <c r="HM559" t="s">
        <v>1</v>
      </c>
      <c r="HN559" t="s">
        <v>1</v>
      </c>
      <c r="HO559" t="s">
        <v>1</v>
      </c>
      <c r="HP559" t="s">
        <v>1</v>
      </c>
      <c r="HZ559" t="s">
        <v>966</v>
      </c>
      <c r="IA559">
        <v>120</v>
      </c>
      <c r="IB559" s="5" t="s">
        <v>1</v>
      </c>
      <c r="IC559" s="5"/>
      <c r="ID559" s="5"/>
      <c r="IE559" s="10" t="s">
        <v>1</v>
      </c>
      <c r="IF559" s="10" t="s">
        <v>1</v>
      </c>
      <c r="IG559" s="10"/>
      <c r="IH559" s="10"/>
      <c r="II559" s="10"/>
      <c r="IJ559" s="10"/>
      <c r="IK559" s="10"/>
      <c r="IL559" s="10"/>
      <c r="IM559" s="10"/>
      <c r="IN559" s="10"/>
      <c r="IO559" s="10"/>
      <c r="IP559" s="10"/>
      <c r="IQ559" s="10"/>
      <c r="IR559" s="10"/>
      <c r="IS559" t="s">
        <v>1</v>
      </c>
      <c r="IT559" t="s">
        <v>1</v>
      </c>
      <c r="IW559" t="s">
        <v>1</v>
      </c>
      <c r="IX559" t="s">
        <v>1</v>
      </c>
      <c r="IY559" t="s">
        <v>808</v>
      </c>
      <c r="IZ559">
        <v>2259</v>
      </c>
      <c r="JA559" t="s">
        <v>1</v>
      </c>
      <c r="JB559" s="3" t="s">
        <v>1</v>
      </c>
      <c r="JC559" t="s">
        <v>1</v>
      </c>
      <c r="JD559" s="4" t="s">
        <v>1</v>
      </c>
      <c r="JE559" t="s">
        <v>810</v>
      </c>
      <c r="JF559">
        <v>100</v>
      </c>
      <c r="JR559" t="s">
        <v>1066</v>
      </c>
      <c r="JS559">
        <v>373.6</v>
      </c>
      <c r="JU559" t="s">
        <v>1</v>
      </c>
      <c r="JW559" t="s">
        <v>1</v>
      </c>
      <c r="JX559">
        <v>0</v>
      </c>
      <c r="JY559">
        <v>85</v>
      </c>
      <c r="JZ559" t="s">
        <v>796</v>
      </c>
      <c r="KA559" t="s">
        <v>650</v>
      </c>
      <c r="KB559" t="s">
        <v>738</v>
      </c>
      <c r="KC559" t="s">
        <v>1</v>
      </c>
      <c r="KD559" t="s">
        <v>1</v>
      </c>
      <c r="KE559" t="s">
        <v>1</v>
      </c>
      <c r="KF559" t="s">
        <v>1</v>
      </c>
      <c r="KG559" t="s">
        <v>1</v>
      </c>
      <c r="KH559" t="s">
        <v>1</v>
      </c>
      <c r="KI559" t="s">
        <v>1</v>
      </c>
      <c r="KJ559" t="s">
        <v>1</v>
      </c>
      <c r="KK559" t="s">
        <v>1</v>
      </c>
    </row>
    <row r="560" spans="1:297" x14ac:dyDescent="0.2">
      <c r="A560">
        <v>528</v>
      </c>
      <c r="B560" t="s">
        <v>705</v>
      </c>
      <c r="C560" t="s">
        <v>654</v>
      </c>
      <c r="D560" t="s">
        <v>648</v>
      </c>
      <c r="E560">
        <v>88</v>
      </c>
      <c r="F560" t="s">
        <v>649</v>
      </c>
      <c r="G560" t="s">
        <v>648</v>
      </c>
      <c r="H560" s="26" t="s">
        <v>1420</v>
      </c>
      <c r="I560" t="s">
        <v>785</v>
      </c>
      <c r="J560">
        <v>2008</v>
      </c>
      <c r="K560" t="s">
        <v>1</v>
      </c>
      <c r="L560" t="s">
        <v>1</v>
      </c>
      <c r="M560">
        <v>369</v>
      </c>
      <c r="N560" t="s">
        <v>1</v>
      </c>
      <c r="O560" t="s">
        <v>1</v>
      </c>
      <c r="P560">
        <v>15</v>
      </c>
      <c r="Q560" t="s">
        <v>786</v>
      </c>
      <c r="R560" t="s">
        <v>787</v>
      </c>
      <c r="S560" t="b">
        <v>0</v>
      </c>
      <c r="T560" t="s">
        <v>1</v>
      </c>
      <c r="U560" t="s">
        <v>1</v>
      </c>
      <c r="V560" t="s">
        <v>1</v>
      </c>
      <c r="W560" t="s">
        <v>1</v>
      </c>
      <c r="X560" t="s">
        <v>1</v>
      </c>
      <c r="Y560" t="s">
        <v>1</v>
      </c>
      <c r="Z560" t="s">
        <v>1</v>
      </c>
      <c r="AA560" t="s">
        <v>1</v>
      </c>
      <c r="AB560" t="s">
        <v>1</v>
      </c>
      <c r="AC560" t="s">
        <v>1</v>
      </c>
      <c r="AD560" t="s">
        <v>1</v>
      </c>
      <c r="AE560" t="s">
        <v>1</v>
      </c>
      <c r="AF560" t="s">
        <v>1</v>
      </c>
      <c r="AG560" t="s">
        <v>1</v>
      </c>
      <c r="AH560" t="s">
        <v>1</v>
      </c>
      <c r="AI560" t="s">
        <v>1</v>
      </c>
      <c r="AJ560" t="s">
        <v>1</v>
      </c>
      <c r="AK560" t="s">
        <v>1</v>
      </c>
      <c r="AL560" t="s">
        <v>1</v>
      </c>
      <c r="AM560" t="s">
        <v>1</v>
      </c>
      <c r="AN560">
        <v>528</v>
      </c>
      <c r="AO560">
        <f t="shared" si="69"/>
        <v>528</v>
      </c>
      <c r="AP560">
        <f t="shared" si="72"/>
        <v>88</v>
      </c>
      <c r="AQ560">
        <f t="shared" si="73"/>
        <v>88</v>
      </c>
      <c r="AR560" s="26" t="s">
        <v>1355</v>
      </c>
      <c r="AS560" s="26" t="s">
        <v>1356</v>
      </c>
      <c r="AT560" t="s">
        <v>725</v>
      </c>
      <c r="AU560" t="s">
        <v>1</v>
      </c>
      <c r="AV560" t="s">
        <v>1</v>
      </c>
      <c r="AW560">
        <v>52</v>
      </c>
      <c r="AX560">
        <v>-0.43</v>
      </c>
      <c r="AY560" t="s">
        <v>737</v>
      </c>
      <c r="BA560" s="3">
        <v>3</v>
      </c>
      <c r="BB560" s="3"/>
      <c r="BC560" s="3"/>
      <c r="BD560" s="3"/>
      <c r="BE560" s="3"/>
      <c r="BF560">
        <v>2006</v>
      </c>
      <c r="BG560" s="24" t="s">
        <v>733</v>
      </c>
      <c r="BH560" s="24" t="s">
        <v>733</v>
      </c>
      <c r="BI560" s="24" t="s">
        <v>733</v>
      </c>
      <c r="BJ560" s="24" t="s">
        <v>732</v>
      </c>
      <c r="BK560" s="24" t="s">
        <v>733</v>
      </c>
      <c r="BL560" s="25" t="s">
        <v>733</v>
      </c>
      <c r="BM560" s="24" t="s">
        <v>733</v>
      </c>
      <c r="BN560" s="24" t="s">
        <v>732</v>
      </c>
      <c r="BO560" s="24" t="s">
        <v>733</v>
      </c>
      <c r="BP560" s="24" t="s">
        <v>733</v>
      </c>
      <c r="BQ560" s="24" t="s">
        <v>945</v>
      </c>
      <c r="BR560" s="24" t="s">
        <v>945</v>
      </c>
      <c r="BS560" s="25" t="s">
        <v>934</v>
      </c>
      <c r="BT560" s="24" t="s">
        <v>934</v>
      </c>
      <c r="BU560" s="24" t="s">
        <v>934</v>
      </c>
      <c r="BV560" s="24" t="s">
        <v>934</v>
      </c>
      <c r="BW560" s="24" t="s">
        <v>934</v>
      </c>
      <c r="BX560" s="24" t="s">
        <v>934</v>
      </c>
      <c r="BY560" s="25" t="s">
        <v>945</v>
      </c>
      <c r="BZ560" t="s">
        <v>5</v>
      </c>
      <c r="CB560" t="s">
        <v>1</v>
      </c>
      <c r="CC560" s="4" t="s">
        <v>1</v>
      </c>
      <c r="CD560" s="4"/>
      <c r="CE560" s="4"/>
      <c r="CF560" t="s">
        <v>1</v>
      </c>
      <c r="CG560" t="s">
        <v>1</v>
      </c>
      <c r="CH560" t="s">
        <v>805</v>
      </c>
      <c r="CI560" s="28">
        <v>1</v>
      </c>
      <c r="CJ560" s="10" t="s">
        <v>1442</v>
      </c>
      <c r="CK560" s="9" t="s">
        <v>1</v>
      </c>
      <c r="CL560" s="4" t="s">
        <v>1</v>
      </c>
      <c r="CM560" t="s">
        <v>847</v>
      </c>
      <c r="CN560" s="4">
        <v>9</v>
      </c>
      <c r="CO560" s="4" t="s">
        <v>1</v>
      </c>
      <c r="CP560" s="4" t="s">
        <v>1</v>
      </c>
      <c r="CQ560" s="4" t="s">
        <v>1</v>
      </c>
      <c r="CR560" s="4" t="s">
        <v>1</v>
      </c>
      <c r="CS560" s="4" t="s">
        <v>1</v>
      </c>
      <c r="CT560" s="4" t="s">
        <v>1</v>
      </c>
      <c r="CU560" s="4" t="s">
        <v>1</v>
      </c>
      <c r="CV560" t="s">
        <v>853</v>
      </c>
      <c r="CW560">
        <v>100</v>
      </c>
      <c r="CX560">
        <v>0</v>
      </c>
      <c r="CY560">
        <v>30</v>
      </c>
      <c r="CZ560" s="26" t="s">
        <v>1358</v>
      </c>
      <c r="DA560" t="s">
        <v>734</v>
      </c>
      <c r="DB560">
        <v>99.3</v>
      </c>
      <c r="DC560">
        <v>0</v>
      </c>
      <c r="DD560">
        <v>30</v>
      </c>
      <c r="DE560" s="26" t="s">
        <v>1358</v>
      </c>
      <c r="DF560" t="s">
        <v>735</v>
      </c>
      <c r="DG560">
        <v>0.6</v>
      </c>
      <c r="DH560">
        <v>0</v>
      </c>
      <c r="DI560">
        <v>30</v>
      </c>
      <c r="DJ560" s="26" t="s">
        <v>1358</v>
      </c>
      <c r="DK560" t="s">
        <v>736</v>
      </c>
      <c r="DL560">
        <v>0.1</v>
      </c>
      <c r="DM560">
        <v>0</v>
      </c>
      <c r="DN560">
        <v>30</v>
      </c>
      <c r="DO560" s="26" t="s">
        <v>1358</v>
      </c>
      <c r="DP560" t="s">
        <v>6</v>
      </c>
      <c r="DQ560" t="s">
        <v>1</v>
      </c>
      <c r="DR560">
        <v>7.4</v>
      </c>
      <c r="DS560">
        <v>0</v>
      </c>
      <c r="DT560">
        <v>30</v>
      </c>
      <c r="DU560" s="26" t="s">
        <v>1358</v>
      </c>
      <c r="EA560" t="s">
        <v>982</v>
      </c>
      <c r="EB560">
        <v>8</v>
      </c>
      <c r="EC560">
        <v>0</v>
      </c>
      <c r="ED560">
        <v>30</v>
      </c>
      <c r="EE560" s="26" t="s">
        <v>1358</v>
      </c>
      <c r="EF560" s="26"/>
      <c r="FZ560" t="s">
        <v>806</v>
      </c>
      <c r="GA560">
        <v>412.4</v>
      </c>
      <c r="GE560" s="26" t="s">
        <v>1358</v>
      </c>
      <c r="HA560" s="5" t="s">
        <v>1</v>
      </c>
      <c r="HB560" s="4" t="s">
        <v>1</v>
      </c>
      <c r="HC560" t="s">
        <v>1</v>
      </c>
      <c r="HD560" t="s">
        <v>1</v>
      </c>
      <c r="HE560" t="s">
        <v>1</v>
      </c>
      <c r="HF560" s="5" t="s">
        <v>1063</v>
      </c>
      <c r="HG560" s="4">
        <v>0.3</v>
      </c>
      <c r="HH560">
        <v>0</v>
      </c>
      <c r="HI560">
        <v>30</v>
      </c>
      <c r="HJ560" s="26" t="s">
        <v>1358</v>
      </c>
      <c r="HK560" t="s">
        <v>1</v>
      </c>
      <c r="HL560" t="s">
        <v>1</v>
      </c>
      <c r="HM560" t="s">
        <v>1</v>
      </c>
      <c r="HN560" t="s">
        <v>1</v>
      </c>
      <c r="HO560" t="s">
        <v>1</v>
      </c>
      <c r="HP560" t="s">
        <v>1</v>
      </c>
      <c r="HZ560" t="s">
        <v>1</v>
      </c>
      <c r="IA560" t="s">
        <v>1</v>
      </c>
      <c r="IB560" s="10" t="s">
        <v>1</v>
      </c>
      <c r="IC560" s="10"/>
      <c r="ID560" s="10"/>
      <c r="IE560" s="10" t="s">
        <v>1</v>
      </c>
      <c r="IF560" s="10" t="s">
        <v>1</v>
      </c>
      <c r="IG560" s="10"/>
      <c r="IH560" s="10"/>
      <c r="II560" s="10"/>
      <c r="IJ560" s="10"/>
      <c r="IK560" s="10"/>
      <c r="IL560" s="10"/>
      <c r="IM560" s="10"/>
      <c r="IN560" s="10"/>
      <c r="IO560" s="10"/>
      <c r="IP560" s="10"/>
      <c r="IQ560" s="10"/>
      <c r="IR560" s="10"/>
      <c r="IS560" t="s">
        <v>978</v>
      </c>
      <c r="IT560">
        <v>100</v>
      </c>
      <c r="IW560" t="s">
        <v>1</v>
      </c>
      <c r="IX560" t="s">
        <v>1</v>
      </c>
      <c r="IY560" t="s">
        <v>808</v>
      </c>
      <c r="IZ560">
        <v>2259</v>
      </c>
      <c r="JA560" t="s">
        <v>1</v>
      </c>
      <c r="JB560" s="3" t="s">
        <v>1</v>
      </c>
      <c r="JC560" t="s">
        <v>1</v>
      </c>
      <c r="JD560" s="4" t="s">
        <v>1</v>
      </c>
      <c r="JE560" t="s">
        <v>810</v>
      </c>
      <c r="JF560">
        <v>100</v>
      </c>
      <c r="JR560" t="s">
        <v>1066</v>
      </c>
      <c r="JS560">
        <v>0.7</v>
      </c>
      <c r="JU560" t="s">
        <v>1</v>
      </c>
      <c r="JW560" t="s">
        <v>1</v>
      </c>
      <c r="JX560">
        <v>0</v>
      </c>
      <c r="JY560">
        <v>85</v>
      </c>
      <c r="JZ560" t="s">
        <v>796</v>
      </c>
      <c r="KA560" t="s">
        <v>650</v>
      </c>
      <c r="KB560" t="s">
        <v>738</v>
      </c>
      <c r="KC560" t="s">
        <v>1</v>
      </c>
      <c r="KD560" t="s">
        <v>1</v>
      </c>
      <c r="KE560" t="s">
        <v>1</v>
      </c>
      <c r="KF560" t="s">
        <v>1</v>
      </c>
      <c r="KG560" t="s">
        <v>1</v>
      </c>
      <c r="KH560" t="s">
        <v>1</v>
      </c>
      <c r="KI560" t="s">
        <v>1</v>
      </c>
      <c r="KJ560" t="s">
        <v>1</v>
      </c>
      <c r="KK560" t="s">
        <v>1</v>
      </c>
    </row>
    <row r="561" spans="1:297" x14ac:dyDescent="0.2">
      <c r="A561">
        <v>529</v>
      </c>
      <c r="B561" t="s">
        <v>705</v>
      </c>
      <c r="C561" t="s">
        <v>655</v>
      </c>
      <c r="D561" t="s">
        <v>648</v>
      </c>
      <c r="E561">
        <v>88</v>
      </c>
      <c r="F561" t="s">
        <v>649</v>
      </c>
      <c r="G561" t="s">
        <v>648</v>
      </c>
      <c r="H561" s="26" t="s">
        <v>1420</v>
      </c>
      <c r="I561" t="s">
        <v>785</v>
      </c>
      <c r="J561">
        <v>2008</v>
      </c>
      <c r="K561" t="s">
        <v>1</v>
      </c>
      <c r="L561" t="s">
        <v>1</v>
      </c>
      <c r="M561">
        <v>369</v>
      </c>
      <c r="N561" t="s">
        <v>1</v>
      </c>
      <c r="O561" t="s">
        <v>1</v>
      </c>
      <c r="P561">
        <v>15</v>
      </c>
      <c r="Q561" t="s">
        <v>786</v>
      </c>
      <c r="R561" t="s">
        <v>787</v>
      </c>
      <c r="S561" t="b">
        <v>0</v>
      </c>
      <c r="T561" t="s">
        <v>1</v>
      </c>
      <c r="U561" t="s">
        <v>1</v>
      </c>
      <c r="V561" t="s">
        <v>1</v>
      </c>
      <c r="W561" t="s">
        <v>1</v>
      </c>
      <c r="X561" t="s">
        <v>1</v>
      </c>
      <c r="Y561" t="s">
        <v>1</v>
      </c>
      <c r="Z561" t="s">
        <v>1</v>
      </c>
      <c r="AA561" t="s">
        <v>1</v>
      </c>
      <c r="AB561" t="s">
        <v>1</v>
      </c>
      <c r="AC561" t="s">
        <v>1</v>
      </c>
      <c r="AD561" t="s">
        <v>1</v>
      </c>
      <c r="AE561" t="s">
        <v>1</v>
      </c>
      <c r="AF561" t="s">
        <v>1</v>
      </c>
      <c r="AG561" t="s">
        <v>1</v>
      </c>
      <c r="AH561" t="s">
        <v>1</v>
      </c>
      <c r="AI561" t="s">
        <v>1</v>
      </c>
      <c r="AJ561" t="s">
        <v>1</v>
      </c>
      <c r="AK561" t="s">
        <v>1</v>
      </c>
      <c r="AL561" t="s">
        <v>1</v>
      </c>
      <c r="AM561" t="s">
        <v>1</v>
      </c>
      <c r="AN561">
        <v>529</v>
      </c>
      <c r="AO561">
        <f t="shared" si="69"/>
        <v>529</v>
      </c>
      <c r="AP561">
        <f t="shared" si="72"/>
        <v>88</v>
      </c>
      <c r="AQ561">
        <f t="shared" si="73"/>
        <v>88</v>
      </c>
      <c r="AR561" s="26" t="s">
        <v>1355</v>
      </c>
      <c r="AS561" s="26" t="s">
        <v>1356</v>
      </c>
      <c r="AT561" t="s">
        <v>725</v>
      </c>
      <c r="AU561" t="s">
        <v>1</v>
      </c>
      <c r="AV561" t="s">
        <v>1</v>
      </c>
      <c r="AW561">
        <v>52</v>
      </c>
      <c r="AX561">
        <v>-0.43</v>
      </c>
      <c r="AY561" t="s">
        <v>737</v>
      </c>
      <c r="BA561" s="3">
        <v>3</v>
      </c>
      <c r="BB561" s="3"/>
      <c r="BC561" s="3"/>
      <c r="BD561" s="3"/>
      <c r="BE561" s="3"/>
      <c r="BF561">
        <v>2006</v>
      </c>
      <c r="BG561" s="24" t="s">
        <v>733</v>
      </c>
      <c r="BH561" s="24" t="s">
        <v>733</v>
      </c>
      <c r="BI561" s="24" t="s">
        <v>733</v>
      </c>
      <c r="BJ561" s="24" t="s">
        <v>732</v>
      </c>
      <c r="BK561" s="24" t="s">
        <v>733</v>
      </c>
      <c r="BL561" s="25" t="s">
        <v>733</v>
      </c>
      <c r="BM561" s="24" t="s">
        <v>733</v>
      </c>
      <c r="BN561" s="24" t="s">
        <v>732</v>
      </c>
      <c r="BO561" s="24" t="s">
        <v>733</v>
      </c>
      <c r="BP561" s="24" t="s">
        <v>733</v>
      </c>
      <c r="BQ561" s="24" t="s">
        <v>945</v>
      </c>
      <c r="BR561" s="24" t="s">
        <v>945</v>
      </c>
      <c r="BS561" s="25" t="s">
        <v>934</v>
      </c>
      <c r="BT561" s="24" t="s">
        <v>934</v>
      </c>
      <c r="BU561" s="24" t="s">
        <v>934</v>
      </c>
      <c r="BV561" s="24" t="s">
        <v>934</v>
      </c>
      <c r="BW561" s="24" t="s">
        <v>934</v>
      </c>
      <c r="BX561" s="24" t="s">
        <v>934</v>
      </c>
      <c r="BY561" s="25" t="s">
        <v>945</v>
      </c>
      <c r="BZ561" t="s">
        <v>5</v>
      </c>
      <c r="CB561" t="s">
        <v>1</v>
      </c>
      <c r="CC561" s="4" t="s">
        <v>1</v>
      </c>
      <c r="CD561" s="4"/>
      <c r="CE561" s="4"/>
      <c r="CF561" t="s">
        <v>1</v>
      </c>
      <c r="CG561" t="s">
        <v>1</v>
      </c>
      <c r="CH561" t="s">
        <v>805</v>
      </c>
      <c r="CI561" s="28">
        <v>1</v>
      </c>
      <c r="CJ561" s="10" t="s">
        <v>1442</v>
      </c>
      <c r="CK561" s="9" t="s">
        <v>1</v>
      </c>
      <c r="CL561" s="4" t="s">
        <v>1</v>
      </c>
      <c r="CM561" t="s">
        <v>847</v>
      </c>
      <c r="CN561" s="4">
        <v>12</v>
      </c>
      <c r="CO561" s="4" t="s">
        <v>1</v>
      </c>
      <c r="CP561" s="4" t="s">
        <v>1</v>
      </c>
      <c r="CQ561" s="4" t="s">
        <v>1</v>
      </c>
      <c r="CR561" s="4" t="s">
        <v>1</v>
      </c>
      <c r="CS561" s="4" t="s">
        <v>1</v>
      </c>
      <c r="CT561" s="4" t="s">
        <v>1</v>
      </c>
      <c r="CU561" s="4" t="s">
        <v>1</v>
      </c>
      <c r="CV561" t="s">
        <v>853</v>
      </c>
      <c r="CW561">
        <v>100</v>
      </c>
      <c r="CX561">
        <v>0</v>
      </c>
      <c r="CY561">
        <v>30</v>
      </c>
      <c r="CZ561" s="26" t="s">
        <v>1358</v>
      </c>
      <c r="DA561" t="s">
        <v>734</v>
      </c>
      <c r="DB561">
        <v>99.3</v>
      </c>
      <c r="DC561">
        <v>0</v>
      </c>
      <c r="DD561">
        <v>30</v>
      </c>
      <c r="DE561" s="26" t="s">
        <v>1358</v>
      </c>
      <c r="DF561" t="s">
        <v>735</v>
      </c>
      <c r="DG561">
        <v>0.6</v>
      </c>
      <c r="DH561">
        <v>0</v>
      </c>
      <c r="DI561">
        <v>30</v>
      </c>
      <c r="DJ561" s="26" t="s">
        <v>1358</v>
      </c>
      <c r="DK561" t="s">
        <v>736</v>
      </c>
      <c r="DL561">
        <v>0.1</v>
      </c>
      <c r="DM561">
        <v>0</v>
      </c>
      <c r="DN561">
        <v>30</v>
      </c>
      <c r="DO561" s="26" t="s">
        <v>1358</v>
      </c>
      <c r="DP561" t="s">
        <v>6</v>
      </c>
      <c r="DQ561" t="s">
        <v>1</v>
      </c>
      <c r="DR561">
        <v>7.4</v>
      </c>
      <c r="DS561">
        <v>0</v>
      </c>
      <c r="DT561">
        <v>30</v>
      </c>
      <c r="DU561" s="26" t="s">
        <v>1358</v>
      </c>
      <c r="EA561" t="s">
        <v>982</v>
      </c>
      <c r="EB561">
        <v>8</v>
      </c>
      <c r="EC561">
        <v>0</v>
      </c>
      <c r="ED561">
        <v>30</v>
      </c>
      <c r="EE561" s="26" t="s">
        <v>1358</v>
      </c>
      <c r="EF561" s="26"/>
      <c r="FZ561" t="s">
        <v>806</v>
      </c>
      <c r="GA561">
        <v>412.4</v>
      </c>
      <c r="GE561" s="26" t="s">
        <v>1358</v>
      </c>
      <c r="HA561" s="5" t="s">
        <v>1</v>
      </c>
      <c r="HB561" s="4" t="s">
        <v>1</v>
      </c>
      <c r="HC561" t="s">
        <v>1</v>
      </c>
      <c r="HD561" t="s">
        <v>1</v>
      </c>
      <c r="HE561" t="s">
        <v>1</v>
      </c>
      <c r="HF561" s="5" t="s">
        <v>1063</v>
      </c>
      <c r="HG561" s="4">
        <v>0.3</v>
      </c>
      <c r="HH561">
        <v>0</v>
      </c>
      <c r="HI561">
        <v>30</v>
      </c>
      <c r="HJ561" s="26" t="s">
        <v>1358</v>
      </c>
      <c r="HK561" t="s">
        <v>1</v>
      </c>
      <c r="HL561" t="s">
        <v>1</v>
      </c>
      <c r="HM561" t="s">
        <v>1</v>
      </c>
      <c r="HN561" t="s">
        <v>1</v>
      </c>
      <c r="HO561" t="s">
        <v>1</v>
      </c>
      <c r="HP561" t="s">
        <v>1</v>
      </c>
      <c r="HZ561" t="s">
        <v>1</v>
      </c>
      <c r="IA561" t="s">
        <v>1</v>
      </c>
      <c r="IB561" s="10" t="s">
        <v>1</v>
      </c>
      <c r="IC561" s="10"/>
      <c r="ID561" s="10"/>
      <c r="IE561" s="10" t="s">
        <v>1</v>
      </c>
      <c r="IF561" s="10" t="s">
        <v>1</v>
      </c>
      <c r="IG561" s="10"/>
      <c r="IH561" s="10"/>
      <c r="II561" s="10"/>
      <c r="IJ561" s="10"/>
      <c r="IK561" s="10"/>
      <c r="IL561" s="10"/>
      <c r="IM561" s="10"/>
      <c r="IN561" s="10"/>
      <c r="IO561" s="10"/>
      <c r="IP561" s="10"/>
      <c r="IQ561" s="10"/>
      <c r="IR561" s="10"/>
      <c r="IS561" t="s">
        <v>978</v>
      </c>
      <c r="IT561">
        <v>250</v>
      </c>
      <c r="IW561" t="s">
        <v>1</v>
      </c>
      <c r="IX561" t="s">
        <v>1</v>
      </c>
      <c r="IY561" t="s">
        <v>808</v>
      </c>
      <c r="IZ561">
        <v>2259</v>
      </c>
      <c r="JA561" t="s">
        <v>1</v>
      </c>
      <c r="JB561" s="3" t="s">
        <v>1</v>
      </c>
      <c r="JC561" t="s">
        <v>1</v>
      </c>
      <c r="JD561" s="4" t="s">
        <v>1</v>
      </c>
      <c r="JE561" t="s">
        <v>810</v>
      </c>
      <c r="JF561">
        <v>100</v>
      </c>
      <c r="JR561" t="s">
        <v>1066</v>
      </c>
      <c r="JS561">
        <v>0.7</v>
      </c>
      <c r="JU561" t="s">
        <v>1</v>
      </c>
      <c r="JW561" t="s">
        <v>1</v>
      </c>
      <c r="JX561">
        <v>0</v>
      </c>
      <c r="JY561">
        <v>85</v>
      </c>
      <c r="JZ561" t="s">
        <v>796</v>
      </c>
      <c r="KA561" t="s">
        <v>650</v>
      </c>
      <c r="KB561" t="s">
        <v>738</v>
      </c>
      <c r="KC561" t="s">
        <v>1</v>
      </c>
      <c r="KD561" t="s">
        <v>1</v>
      </c>
      <c r="KE561" t="s">
        <v>1</v>
      </c>
      <c r="KF561" t="s">
        <v>1</v>
      </c>
      <c r="KG561" t="s">
        <v>1</v>
      </c>
      <c r="KH561" t="s">
        <v>1</v>
      </c>
      <c r="KI561" t="s">
        <v>1</v>
      </c>
      <c r="KJ561" t="s">
        <v>1</v>
      </c>
      <c r="KK561" t="s">
        <v>1</v>
      </c>
    </row>
    <row r="562" spans="1:297" x14ac:dyDescent="0.2">
      <c r="A562">
        <v>530</v>
      </c>
      <c r="B562" t="s">
        <v>705</v>
      </c>
      <c r="C562" t="s">
        <v>656</v>
      </c>
      <c r="D562" t="s">
        <v>648</v>
      </c>
      <c r="E562">
        <v>88</v>
      </c>
      <c r="F562" t="s">
        <v>649</v>
      </c>
      <c r="G562" t="s">
        <v>648</v>
      </c>
      <c r="H562" s="26" t="s">
        <v>1420</v>
      </c>
      <c r="I562" t="s">
        <v>785</v>
      </c>
      <c r="J562">
        <v>2008</v>
      </c>
      <c r="K562" t="s">
        <v>1</v>
      </c>
      <c r="L562" t="s">
        <v>1</v>
      </c>
      <c r="M562">
        <v>369</v>
      </c>
      <c r="N562" t="s">
        <v>1</v>
      </c>
      <c r="O562" t="s">
        <v>1</v>
      </c>
      <c r="P562">
        <v>15</v>
      </c>
      <c r="Q562" t="s">
        <v>786</v>
      </c>
      <c r="R562" t="s">
        <v>787</v>
      </c>
      <c r="S562" t="b">
        <v>0</v>
      </c>
      <c r="T562" t="s">
        <v>1</v>
      </c>
      <c r="U562" t="s">
        <v>1</v>
      </c>
      <c r="V562" t="s">
        <v>1</v>
      </c>
      <c r="W562" t="s">
        <v>1</v>
      </c>
      <c r="X562" t="s">
        <v>1</v>
      </c>
      <c r="Y562" t="s">
        <v>1</v>
      </c>
      <c r="Z562" t="s">
        <v>1</v>
      </c>
      <c r="AA562" t="s">
        <v>1</v>
      </c>
      <c r="AB562" t="s">
        <v>1</v>
      </c>
      <c r="AC562" t="s">
        <v>1</v>
      </c>
      <c r="AD562" t="s">
        <v>1</v>
      </c>
      <c r="AE562" t="s">
        <v>1</v>
      </c>
      <c r="AF562" t="s">
        <v>1</v>
      </c>
      <c r="AG562" t="s">
        <v>1</v>
      </c>
      <c r="AH562" t="s">
        <v>1</v>
      </c>
      <c r="AI562" t="s">
        <v>1</v>
      </c>
      <c r="AJ562" t="s">
        <v>1</v>
      </c>
      <c r="AK562" t="s">
        <v>1</v>
      </c>
      <c r="AL562" t="s">
        <v>1</v>
      </c>
      <c r="AM562" t="s">
        <v>1</v>
      </c>
      <c r="AN562">
        <v>530</v>
      </c>
      <c r="AO562">
        <f t="shared" si="69"/>
        <v>530</v>
      </c>
      <c r="AP562">
        <f t="shared" si="72"/>
        <v>88</v>
      </c>
      <c r="AQ562">
        <f t="shared" si="73"/>
        <v>88</v>
      </c>
      <c r="AR562" s="26" t="s">
        <v>1355</v>
      </c>
      <c r="AS562" s="26" t="s">
        <v>1356</v>
      </c>
      <c r="AT562" t="s">
        <v>725</v>
      </c>
      <c r="AU562" t="s">
        <v>1</v>
      </c>
      <c r="AV562" t="s">
        <v>1</v>
      </c>
      <c r="AW562">
        <v>52</v>
      </c>
      <c r="AX562">
        <v>-0.43</v>
      </c>
      <c r="AY562" t="s">
        <v>737</v>
      </c>
      <c r="BA562" s="3">
        <v>3</v>
      </c>
      <c r="BB562" s="3"/>
      <c r="BC562" s="3"/>
      <c r="BD562" s="3"/>
      <c r="BE562" s="3"/>
      <c r="BF562">
        <v>2006</v>
      </c>
      <c r="BG562" s="24" t="s">
        <v>733</v>
      </c>
      <c r="BH562" s="24" t="s">
        <v>733</v>
      </c>
      <c r="BI562" s="24" t="s">
        <v>733</v>
      </c>
      <c r="BJ562" s="24" t="s">
        <v>732</v>
      </c>
      <c r="BK562" s="24" t="s">
        <v>733</v>
      </c>
      <c r="BL562" s="25" t="s">
        <v>733</v>
      </c>
      <c r="BM562" s="24" t="s">
        <v>733</v>
      </c>
      <c r="BN562" s="24" t="s">
        <v>732</v>
      </c>
      <c r="BO562" s="24" t="s">
        <v>733</v>
      </c>
      <c r="BP562" s="24" t="s">
        <v>733</v>
      </c>
      <c r="BQ562" s="24" t="s">
        <v>945</v>
      </c>
      <c r="BR562" s="24" t="s">
        <v>945</v>
      </c>
      <c r="BS562" s="25" t="s">
        <v>934</v>
      </c>
      <c r="BT562" s="24" t="s">
        <v>934</v>
      </c>
      <c r="BU562" s="24" t="s">
        <v>934</v>
      </c>
      <c r="BV562" s="24" t="s">
        <v>934</v>
      </c>
      <c r="BW562" s="24" t="s">
        <v>934</v>
      </c>
      <c r="BX562" s="24" t="s">
        <v>934</v>
      </c>
      <c r="BY562" s="25" t="s">
        <v>945</v>
      </c>
      <c r="BZ562" t="s">
        <v>5</v>
      </c>
      <c r="CB562" t="s">
        <v>1</v>
      </c>
      <c r="CC562" s="4" t="s">
        <v>1</v>
      </c>
      <c r="CD562" s="4"/>
      <c r="CE562" s="4"/>
      <c r="CF562" t="s">
        <v>1</v>
      </c>
      <c r="CG562" t="s">
        <v>1</v>
      </c>
      <c r="CH562" t="s">
        <v>805</v>
      </c>
      <c r="CI562" s="28">
        <v>1</v>
      </c>
      <c r="CJ562" s="10" t="s">
        <v>1442</v>
      </c>
      <c r="CK562" s="9" t="s">
        <v>1</v>
      </c>
      <c r="CL562" s="4" t="s">
        <v>1</v>
      </c>
      <c r="CM562" t="s">
        <v>847</v>
      </c>
      <c r="CN562" s="4">
        <v>10</v>
      </c>
      <c r="CO562" s="4" t="s">
        <v>1</v>
      </c>
      <c r="CP562" s="4" t="s">
        <v>1</v>
      </c>
      <c r="CQ562" s="4" t="s">
        <v>1</v>
      </c>
      <c r="CR562" s="4" t="s">
        <v>1</v>
      </c>
      <c r="CS562" s="4" t="s">
        <v>1</v>
      </c>
      <c r="CT562" s="4" t="s">
        <v>1</v>
      </c>
      <c r="CU562" s="4" t="s">
        <v>1</v>
      </c>
      <c r="CV562" t="s">
        <v>853</v>
      </c>
      <c r="CW562">
        <v>100</v>
      </c>
      <c r="CX562">
        <v>0</v>
      </c>
      <c r="CY562">
        <v>30</v>
      </c>
      <c r="CZ562" s="26" t="s">
        <v>1358</v>
      </c>
      <c r="DA562" t="s">
        <v>734</v>
      </c>
      <c r="DB562">
        <v>99.3</v>
      </c>
      <c r="DC562">
        <v>0</v>
      </c>
      <c r="DD562">
        <v>30</v>
      </c>
      <c r="DE562" s="26" t="s">
        <v>1358</v>
      </c>
      <c r="DF562" t="s">
        <v>735</v>
      </c>
      <c r="DG562">
        <v>0.6</v>
      </c>
      <c r="DH562">
        <v>0</v>
      </c>
      <c r="DI562">
        <v>30</v>
      </c>
      <c r="DJ562" s="26" t="s">
        <v>1358</v>
      </c>
      <c r="DK562" t="s">
        <v>736</v>
      </c>
      <c r="DL562">
        <v>0.1</v>
      </c>
      <c r="DM562">
        <v>0</v>
      </c>
      <c r="DN562">
        <v>30</v>
      </c>
      <c r="DO562" s="26" t="s">
        <v>1358</v>
      </c>
      <c r="DP562" t="s">
        <v>6</v>
      </c>
      <c r="DQ562" t="s">
        <v>1</v>
      </c>
      <c r="DR562">
        <v>7.4</v>
      </c>
      <c r="DS562">
        <v>0</v>
      </c>
      <c r="DT562">
        <v>30</v>
      </c>
      <c r="DU562" s="26" t="s">
        <v>1358</v>
      </c>
      <c r="EA562" t="s">
        <v>982</v>
      </c>
      <c r="EB562">
        <v>8</v>
      </c>
      <c r="EC562">
        <v>0</v>
      </c>
      <c r="ED562">
        <v>30</v>
      </c>
      <c r="EE562" s="26" t="s">
        <v>1358</v>
      </c>
      <c r="EF562" s="26"/>
      <c r="FZ562" t="s">
        <v>806</v>
      </c>
      <c r="GA562">
        <v>412.4</v>
      </c>
      <c r="GE562" s="26" t="s">
        <v>1358</v>
      </c>
      <c r="HA562" s="5" t="s">
        <v>1</v>
      </c>
      <c r="HB562" s="4" t="s">
        <v>1</v>
      </c>
      <c r="HC562" t="s">
        <v>1</v>
      </c>
      <c r="HD562" t="s">
        <v>1</v>
      </c>
      <c r="HE562" t="s">
        <v>1</v>
      </c>
      <c r="HF562" s="5" t="s">
        <v>1063</v>
      </c>
      <c r="HG562" s="4">
        <v>0.3</v>
      </c>
      <c r="HH562">
        <v>0</v>
      </c>
      <c r="HI562">
        <v>30</v>
      </c>
      <c r="HJ562" s="26" t="s">
        <v>1358</v>
      </c>
      <c r="HK562" t="s">
        <v>1</v>
      </c>
      <c r="HL562" t="s">
        <v>1</v>
      </c>
      <c r="HM562" t="s">
        <v>1</v>
      </c>
      <c r="HN562" t="s">
        <v>1</v>
      </c>
      <c r="HO562" t="s">
        <v>1</v>
      </c>
      <c r="HP562" t="s">
        <v>1</v>
      </c>
      <c r="HZ562" t="s">
        <v>1</v>
      </c>
      <c r="IA562" t="s">
        <v>1</v>
      </c>
      <c r="IB562" s="10" t="s">
        <v>1</v>
      </c>
      <c r="IC562" s="10"/>
      <c r="ID562" s="10"/>
      <c r="IE562" s="10" t="s">
        <v>1</v>
      </c>
      <c r="IF562" s="10" t="s">
        <v>1</v>
      </c>
      <c r="IG562" s="10"/>
      <c r="IH562" s="10"/>
      <c r="II562" s="10"/>
      <c r="IJ562" s="10"/>
      <c r="IK562" s="10"/>
      <c r="IL562" s="10"/>
      <c r="IM562" s="10"/>
      <c r="IN562" s="10"/>
      <c r="IO562" s="10"/>
      <c r="IP562" s="10"/>
      <c r="IQ562" s="10"/>
      <c r="IR562" s="10"/>
      <c r="IS562" t="s">
        <v>978</v>
      </c>
      <c r="IT562">
        <v>400</v>
      </c>
      <c r="IW562" t="s">
        <v>1</v>
      </c>
      <c r="IX562" t="s">
        <v>1</v>
      </c>
      <c r="IY562" t="s">
        <v>808</v>
      </c>
      <c r="IZ562">
        <v>2259</v>
      </c>
      <c r="JA562" t="s">
        <v>1</v>
      </c>
      <c r="JB562" s="3" t="s">
        <v>1</v>
      </c>
      <c r="JC562" t="s">
        <v>1</v>
      </c>
      <c r="JD562" s="4" t="s">
        <v>1</v>
      </c>
      <c r="JE562" t="s">
        <v>810</v>
      </c>
      <c r="JF562">
        <v>100</v>
      </c>
      <c r="JR562" t="s">
        <v>1066</v>
      </c>
      <c r="JS562">
        <v>0.7</v>
      </c>
      <c r="JU562" t="s">
        <v>1</v>
      </c>
      <c r="JW562" t="s">
        <v>1</v>
      </c>
      <c r="JX562">
        <v>0</v>
      </c>
      <c r="JY562">
        <v>85</v>
      </c>
      <c r="JZ562" t="s">
        <v>796</v>
      </c>
      <c r="KA562" t="s">
        <v>650</v>
      </c>
      <c r="KB562" t="s">
        <v>738</v>
      </c>
      <c r="KC562" t="s">
        <v>1</v>
      </c>
      <c r="KD562" t="s">
        <v>1</v>
      </c>
      <c r="KE562" t="s">
        <v>1</v>
      </c>
      <c r="KF562" t="s">
        <v>1</v>
      </c>
      <c r="KG562" t="s">
        <v>1</v>
      </c>
      <c r="KH562" t="s">
        <v>1</v>
      </c>
      <c r="KI562" t="s">
        <v>1</v>
      </c>
      <c r="KJ562" t="s">
        <v>1</v>
      </c>
      <c r="KK562" t="s">
        <v>1</v>
      </c>
    </row>
    <row r="563" spans="1:297" x14ac:dyDescent="0.2">
      <c r="A563">
        <v>531</v>
      </c>
      <c r="B563" t="s">
        <v>705</v>
      </c>
      <c r="C563" t="s">
        <v>657</v>
      </c>
      <c r="D563" t="s">
        <v>648</v>
      </c>
      <c r="E563">
        <v>88</v>
      </c>
      <c r="F563" t="s">
        <v>649</v>
      </c>
      <c r="G563" t="s">
        <v>648</v>
      </c>
      <c r="H563" s="26" t="s">
        <v>1420</v>
      </c>
      <c r="I563" t="s">
        <v>785</v>
      </c>
      <c r="J563">
        <v>2008</v>
      </c>
      <c r="K563" t="s">
        <v>1</v>
      </c>
      <c r="L563" t="s">
        <v>1</v>
      </c>
      <c r="M563">
        <v>369</v>
      </c>
      <c r="N563" t="s">
        <v>1</v>
      </c>
      <c r="O563" t="s">
        <v>1</v>
      </c>
      <c r="P563">
        <v>15</v>
      </c>
      <c r="Q563" t="s">
        <v>786</v>
      </c>
      <c r="R563" t="s">
        <v>787</v>
      </c>
      <c r="S563" t="b">
        <v>0</v>
      </c>
      <c r="T563" t="s">
        <v>1</v>
      </c>
      <c r="U563" t="s">
        <v>1</v>
      </c>
      <c r="V563" t="s">
        <v>1</v>
      </c>
      <c r="W563" t="s">
        <v>1</v>
      </c>
      <c r="X563" t="s">
        <v>1</v>
      </c>
      <c r="Y563" t="s">
        <v>1</v>
      </c>
      <c r="Z563" t="s">
        <v>1</v>
      </c>
      <c r="AA563" t="s">
        <v>1</v>
      </c>
      <c r="AB563" t="s">
        <v>1</v>
      </c>
      <c r="AC563" t="s">
        <v>1</v>
      </c>
      <c r="AD563" t="s">
        <v>1</v>
      </c>
      <c r="AE563" t="s">
        <v>1</v>
      </c>
      <c r="AF563" t="s">
        <v>1</v>
      </c>
      <c r="AG563" t="s">
        <v>1</v>
      </c>
      <c r="AH563" t="s">
        <v>1</v>
      </c>
      <c r="AI563" t="s">
        <v>1</v>
      </c>
      <c r="AJ563" t="s">
        <v>1</v>
      </c>
      <c r="AK563" t="s">
        <v>1</v>
      </c>
      <c r="AL563" t="s">
        <v>1</v>
      </c>
      <c r="AM563" t="s">
        <v>1</v>
      </c>
      <c r="AN563">
        <v>531</v>
      </c>
      <c r="AO563">
        <f t="shared" si="69"/>
        <v>531</v>
      </c>
      <c r="AP563">
        <f t="shared" si="72"/>
        <v>88</v>
      </c>
      <c r="AQ563">
        <f t="shared" si="73"/>
        <v>88</v>
      </c>
      <c r="AR563" s="26" t="s">
        <v>1355</v>
      </c>
      <c r="AS563" s="26" t="s">
        <v>1356</v>
      </c>
      <c r="AT563" t="s">
        <v>725</v>
      </c>
      <c r="AU563" t="s">
        <v>1</v>
      </c>
      <c r="AV563" t="s">
        <v>1</v>
      </c>
      <c r="AW563">
        <v>52</v>
      </c>
      <c r="AX563">
        <v>-0.43</v>
      </c>
      <c r="AY563" t="s">
        <v>737</v>
      </c>
      <c r="BA563" s="3">
        <v>3</v>
      </c>
      <c r="BB563" s="3"/>
      <c r="BC563" s="3"/>
      <c r="BD563" s="3"/>
      <c r="BE563" s="3"/>
      <c r="BF563">
        <v>2006</v>
      </c>
      <c r="BG563" s="24" t="s">
        <v>733</v>
      </c>
      <c r="BH563" s="24" t="s">
        <v>733</v>
      </c>
      <c r="BI563" s="24" t="s">
        <v>733</v>
      </c>
      <c r="BJ563" s="24" t="s">
        <v>732</v>
      </c>
      <c r="BK563" s="24" t="s">
        <v>733</v>
      </c>
      <c r="BL563" s="25" t="s">
        <v>733</v>
      </c>
      <c r="BM563" s="24" t="s">
        <v>733</v>
      </c>
      <c r="BN563" s="24" t="s">
        <v>732</v>
      </c>
      <c r="BO563" s="24" t="s">
        <v>733</v>
      </c>
      <c r="BP563" s="24" t="s">
        <v>733</v>
      </c>
      <c r="BQ563" s="24" t="s">
        <v>945</v>
      </c>
      <c r="BR563" s="24" t="s">
        <v>945</v>
      </c>
      <c r="BS563" s="25" t="s">
        <v>934</v>
      </c>
      <c r="BT563" s="24" t="s">
        <v>934</v>
      </c>
      <c r="BU563" s="24" t="s">
        <v>934</v>
      </c>
      <c r="BV563" s="24" t="s">
        <v>934</v>
      </c>
      <c r="BW563" s="24" t="s">
        <v>934</v>
      </c>
      <c r="BX563" s="24" t="s">
        <v>934</v>
      </c>
      <c r="BY563" s="25" t="s">
        <v>945</v>
      </c>
      <c r="BZ563" t="s">
        <v>5</v>
      </c>
      <c r="CB563" t="s">
        <v>1</v>
      </c>
      <c r="CC563" s="4" t="s">
        <v>1</v>
      </c>
      <c r="CD563" s="4"/>
      <c r="CE563" s="4"/>
      <c r="CF563" t="s">
        <v>1</v>
      </c>
      <c r="CG563" t="s">
        <v>1</v>
      </c>
      <c r="CH563" t="s">
        <v>805</v>
      </c>
      <c r="CI563" s="28">
        <v>1</v>
      </c>
      <c r="CJ563" s="10" t="s">
        <v>1442</v>
      </c>
      <c r="CK563" s="9" t="s">
        <v>1</v>
      </c>
      <c r="CL563" s="4" t="s">
        <v>1</v>
      </c>
      <c r="CM563" t="s">
        <v>847</v>
      </c>
      <c r="CN563" s="4">
        <v>11</v>
      </c>
      <c r="CO563" s="4" t="s">
        <v>1</v>
      </c>
      <c r="CP563" s="4" t="s">
        <v>1</v>
      </c>
      <c r="CQ563" s="4" t="s">
        <v>1</v>
      </c>
      <c r="CR563" s="4" t="s">
        <v>1</v>
      </c>
      <c r="CS563" s="4" t="s">
        <v>1</v>
      </c>
      <c r="CT563" s="4" t="s">
        <v>1</v>
      </c>
      <c r="CU563" s="4" t="s">
        <v>1</v>
      </c>
      <c r="CV563" t="s">
        <v>853</v>
      </c>
      <c r="CW563">
        <v>100</v>
      </c>
      <c r="CX563">
        <v>0</v>
      </c>
      <c r="CY563">
        <v>30</v>
      </c>
      <c r="CZ563" s="26" t="s">
        <v>1358</v>
      </c>
      <c r="DA563" t="s">
        <v>734</v>
      </c>
      <c r="DB563">
        <v>99.3</v>
      </c>
      <c r="DC563">
        <v>0</v>
      </c>
      <c r="DD563">
        <v>30</v>
      </c>
      <c r="DE563" s="26" t="s">
        <v>1358</v>
      </c>
      <c r="DF563" t="s">
        <v>735</v>
      </c>
      <c r="DG563">
        <v>0.6</v>
      </c>
      <c r="DH563">
        <v>0</v>
      </c>
      <c r="DI563">
        <v>30</v>
      </c>
      <c r="DJ563" s="26" t="s">
        <v>1358</v>
      </c>
      <c r="DK563" t="s">
        <v>736</v>
      </c>
      <c r="DL563">
        <v>0.1</v>
      </c>
      <c r="DM563">
        <v>0</v>
      </c>
      <c r="DN563">
        <v>30</v>
      </c>
      <c r="DO563" s="26" t="s">
        <v>1358</v>
      </c>
      <c r="DP563" t="s">
        <v>6</v>
      </c>
      <c r="DQ563" t="s">
        <v>1</v>
      </c>
      <c r="DR563">
        <v>7.4</v>
      </c>
      <c r="DS563">
        <v>0</v>
      </c>
      <c r="DT563">
        <v>30</v>
      </c>
      <c r="DU563" s="26" t="s">
        <v>1358</v>
      </c>
      <c r="EA563" t="s">
        <v>982</v>
      </c>
      <c r="EB563">
        <v>8</v>
      </c>
      <c r="EC563">
        <v>0</v>
      </c>
      <c r="ED563">
        <v>30</v>
      </c>
      <c r="EE563" s="26" t="s">
        <v>1358</v>
      </c>
      <c r="EF563" s="26"/>
      <c r="FZ563" t="s">
        <v>806</v>
      </c>
      <c r="GA563">
        <v>412.4</v>
      </c>
      <c r="GE563" s="26" t="s">
        <v>1358</v>
      </c>
      <c r="HA563" s="5" t="s">
        <v>1</v>
      </c>
      <c r="HB563" s="4" t="s">
        <v>1</v>
      </c>
      <c r="HC563" t="s">
        <v>1</v>
      </c>
      <c r="HD563" t="s">
        <v>1</v>
      </c>
      <c r="HE563" t="s">
        <v>1</v>
      </c>
      <c r="HF563" s="5" t="s">
        <v>1063</v>
      </c>
      <c r="HG563" s="4">
        <v>0.3</v>
      </c>
      <c r="HH563">
        <v>0</v>
      </c>
      <c r="HI563">
        <v>30</v>
      </c>
      <c r="HJ563" s="26" t="s">
        <v>1358</v>
      </c>
      <c r="HK563" t="s">
        <v>1</v>
      </c>
      <c r="HL563" t="s">
        <v>1</v>
      </c>
      <c r="HM563" t="s">
        <v>1</v>
      </c>
      <c r="HN563" t="s">
        <v>1</v>
      </c>
      <c r="HO563" t="s">
        <v>1</v>
      </c>
      <c r="HP563" t="s">
        <v>1</v>
      </c>
      <c r="HZ563" t="s">
        <v>1</v>
      </c>
      <c r="IA563" t="s">
        <v>1</v>
      </c>
      <c r="IB563" s="10" t="s">
        <v>1</v>
      </c>
      <c r="IC563" s="10"/>
      <c r="ID563" s="10"/>
      <c r="IE563" s="10" t="s">
        <v>1</v>
      </c>
      <c r="IF563" s="10" t="s">
        <v>1</v>
      </c>
      <c r="IG563" s="10"/>
      <c r="IH563" s="10"/>
      <c r="II563" s="10"/>
      <c r="IJ563" s="10"/>
      <c r="IK563" s="10"/>
      <c r="IL563" s="10"/>
      <c r="IM563" s="10"/>
      <c r="IN563" s="10"/>
      <c r="IO563" s="10"/>
      <c r="IP563" s="10"/>
      <c r="IQ563" s="10"/>
      <c r="IR563" s="10"/>
      <c r="IS563" t="s">
        <v>978</v>
      </c>
      <c r="IT563">
        <v>600</v>
      </c>
      <c r="IW563" t="s">
        <v>1</v>
      </c>
      <c r="IX563" t="s">
        <v>1</v>
      </c>
      <c r="IY563" t="s">
        <v>808</v>
      </c>
      <c r="IZ563">
        <v>2259</v>
      </c>
      <c r="JA563" t="s">
        <v>1</v>
      </c>
      <c r="JB563" s="3" t="s">
        <v>1</v>
      </c>
      <c r="JC563" t="s">
        <v>1</v>
      </c>
      <c r="JD563" s="4" t="s">
        <v>1</v>
      </c>
      <c r="JE563" t="s">
        <v>810</v>
      </c>
      <c r="JF563">
        <v>100</v>
      </c>
      <c r="JR563" t="s">
        <v>1066</v>
      </c>
      <c r="JS563">
        <v>0.7</v>
      </c>
      <c r="JU563" t="s">
        <v>1</v>
      </c>
      <c r="JW563" t="s">
        <v>1</v>
      </c>
      <c r="JX563">
        <v>0</v>
      </c>
      <c r="JY563">
        <v>85</v>
      </c>
      <c r="JZ563" t="s">
        <v>796</v>
      </c>
      <c r="KA563" t="s">
        <v>650</v>
      </c>
      <c r="KB563" t="s">
        <v>738</v>
      </c>
      <c r="KC563" t="s">
        <v>1</v>
      </c>
      <c r="KD563" t="s">
        <v>1</v>
      </c>
      <c r="KE563" t="s">
        <v>1</v>
      </c>
      <c r="KF563" t="s">
        <v>1</v>
      </c>
      <c r="KG563" t="s">
        <v>1</v>
      </c>
      <c r="KH563" t="s">
        <v>1</v>
      </c>
      <c r="KI563" t="s">
        <v>1</v>
      </c>
      <c r="KJ563" t="s">
        <v>1</v>
      </c>
      <c r="KK563" t="s">
        <v>1</v>
      </c>
    </row>
    <row r="564" spans="1:297" x14ac:dyDescent="0.2">
      <c r="A564">
        <v>532</v>
      </c>
      <c r="B564" t="s">
        <v>705</v>
      </c>
      <c r="C564" t="s">
        <v>658</v>
      </c>
      <c r="D564" t="s">
        <v>648</v>
      </c>
      <c r="E564">
        <v>88</v>
      </c>
      <c r="F564" t="s">
        <v>649</v>
      </c>
      <c r="G564" t="s">
        <v>648</v>
      </c>
      <c r="H564" s="26" t="s">
        <v>1420</v>
      </c>
      <c r="I564" t="s">
        <v>785</v>
      </c>
      <c r="J564">
        <v>2008</v>
      </c>
      <c r="K564" t="s">
        <v>1</v>
      </c>
      <c r="L564" t="s">
        <v>1</v>
      </c>
      <c r="M564">
        <v>369</v>
      </c>
      <c r="N564" t="s">
        <v>1</v>
      </c>
      <c r="O564" t="s">
        <v>1</v>
      </c>
      <c r="P564">
        <v>15</v>
      </c>
      <c r="Q564" t="s">
        <v>786</v>
      </c>
      <c r="R564" t="s">
        <v>787</v>
      </c>
      <c r="S564" t="b">
        <v>0</v>
      </c>
      <c r="T564" t="s">
        <v>1</v>
      </c>
      <c r="U564" t="s">
        <v>1</v>
      </c>
      <c r="V564" t="s">
        <v>1</v>
      </c>
      <c r="W564" t="s">
        <v>1</v>
      </c>
      <c r="X564" t="s">
        <v>1</v>
      </c>
      <c r="Y564" t="s">
        <v>1</v>
      </c>
      <c r="Z564" t="s">
        <v>1</v>
      </c>
      <c r="AA564" t="s">
        <v>1</v>
      </c>
      <c r="AB564" t="s">
        <v>1</v>
      </c>
      <c r="AC564" t="s">
        <v>1</v>
      </c>
      <c r="AD564" t="s">
        <v>1</v>
      </c>
      <c r="AE564" t="s">
        <v>1</v>
      </c>
      <c r="AF564" t="s">
        <v>1</v>
      </c>
      <c r="AG564" t="s">
        <v>1</v>
      </c>
      <c r="AH564" t="s">
        <v>1</v>
      </c>
      <c r="AI564" t="s">
        <v>1</v>
      </c>
      <c r="AJ564" t="s">
        <v>1</v>
      </c>
      <c r="AK564" t="s">
        <v>1</v>
      </c>
      <c r="AL564" t="s">
        <v>1</v>
      </c>
      <c r="AM564" t="s">
        <v>1</v>
      </c>
      <c r="AN564">
        <v>532</v>
      </c>
      <c r="AO564">
        <f t="shared" si="69"/>
        <v>532</v>
      </c>
      <c r="AP564">
        <f t="shared" si="72"/>
        <v>88</v>
      </c>
      <c r="AQ564">
        <f t="shared" si="73"/>
        <v>88</v>
      </c>
      <c r="AR564" s="26" t="s">
        <v>1355</v>
      </c>
      <c r="AS564" s="26" t="s">
        <v>1356</v>
      </c>
      <c r="AT564" t="s">
        <v>725</v>
      </c>
      <c r="AU564" t="s">
        <v>1</v>
      </c>
      <c r="AV564" t="s">
        <v>1</v>
      </c>
      <c r="AW564">
        <v>52</v>
      </c>
      <c r="AX564">
        <v>-0.43</v>
      </c>
      <c r="AY564" t="s">
        <v>737</v>
      </c>
      <c r="BA564" s="3">
        <v>3</v>
      </c>
      <c r="BB564" s="3"/>
      <c r="BC564" s="3"/>
      <c r="BD564" s="3"/>
      <c r="BE564" s="3"/>
      <c r="BF564">
        <v>2006</v>
      </c>
      <c r="BG564" s="24" t="s">
        <v>733</v>
      </c>
      <c r="BH564" s="24" t="s">
        <v>733</v>
      </c>
      <c r="BI564" s="24" t="s">
        <v>733</v>
      </c>
      <c r="BJ564" s="24" t="s">
        <v>732</v>
      </c>
      <c r="BK564" s="24" t="s">
        <v>733</v>
      </c>
      <c r="BL564" s="25" t="s">
        <v>733</v>
      </c>
      <c r="BM564" s="24" t="s">
        <v>733</v>
      </c>
      <c r="BN564" s="24" t="s">
        <v>732</v>
      </c>
      <c r="BO564" s="24" t="s">
        <v>733</v>
      </c>
      <c r="BP564" s="24" t="s">
        <v>733</v>
      </c>
      <c r="BQ564" s="24" t="s">
        <v>945</v>
      </c>
      <c r="BR564" s="24" t="s">
        <v>945</v>
      </c>
      <c r="BS564" s="25" t="s">
        <v>934</v>
      </c>
      <c r="BT564" s="24" t="s">
        <v>934</v>
      </c>
      <c r="BU564" s="24" t="s">
        <v>934</v>
      </c>
      <c r="BV564" s="24" t="s">
        <v>934</v>
      </c>
      <c r="BW564" s="24" t="s">
        <v>934</v>
      </c>
      <c r="BX564" s="24" t="s">
        <v>934</v>
      </c>
      <c r="BY564" s="25" t="s">
        <v>945</v>
      </c>
      <c r="BZ564" t="s">
        <v>5</v>
      </c>
      <c r="CB564" t="s">
        <v>1</v>
      </c>
      <c r="CC564" s="4" t="s">
        <v>1</v>
      </c>
      <c r="CD564" s="4"/>
      <c r="CE564" s="4"/>
      <c r="CF564" t="s">
        <v>1</v>
      </c>
      <c r="CG564" t="s">
        <v>1</v>
      </c>
      <c r="CH564" t="s">
        <v>805</v>
      </c>
      <c r="CI564" s="28">
        <v>1</v>
      </c>
      <c r="CJ564" s="10" t="s">
        <v>1442</v>
      </c>
      <c r="CK564" s="9" t="s">
        <v>1</v>
      </c>
      <c r="CL564" s="4" t="s">
        <v>1</v>
      </c>
      <c r="CM564" t="s">
        <v>847</v>
      </c>
      <c r="CN564" s="4">
        <v>13</v>
      </c>
      <c r="CO564" s="4" t="s">
        <v>1</v>
      </c>
      <c r="CP564" s="4" t="s">
        <v>1</v>
      </c>
      <c r="CQ564" s="4" t="s">
        <v>1</v>
      </c>
      <c r="CR564" s="4" t="s">
        <v>1</v>
      </c>
      <c r="CS564" s="4" t="s">
        <v>1</v>
      </c>
      <c r="CT564" s="4" t="s">
        <v>1</v>
      </c>
      <c r="CU564" s="4" t="s">
        <v>1</v>
      </c>
      <c r="CV564" t="s">
        <v>853</v>
      </c>
      <c r="CW564">
        <v>100</v>
      </c>
      <c r="CX564">
        <v>0</v>
      </c>
      <c r="CY564">
        <v>30</v>
      </c>
      <c r="CZ564" s="26" t="s">
        <v>1358</v>
      </c>
      <c r="DA564" t="s">
        <v>734</v>
      </c>
      <c r="DB564">
        <v>99.3</v>
      </c>
      <c r="DC564">
        <v>0</v>
      </c>
      <c r="DD564">
        <v>30</v>
      </c>
      <c r="DE564" s="26" t="s">
        <v>1358</v>
      </c>
      <c r="DF564" t="s">
        <v>735</v>
      </c>
      <c r="DG564">
        <v>0.6</v>
      </c>
      <c r="DH564">
        <v>0</v>
      </c>
      <c r="DI564">
        <v>30</v>
      </c>
      <c r="DJ564" s="26" t="s">
        <v>1358</v>
      </c>
      <c r="DK564" t="s">
        <v>736</v>
      </c>
      <c r="DL564">
        <v>0.1</v>
      </c>
      <c r="DM564">
        <v>0</v>
      </c>
      <c r="DN564">
        <v>30</v>
      </c>
      <c r="DO564" s="26" t="s">
        <v>1358</v>
      </c>
      <c r="DP564" t="s">
        <v>6</v>
      </c>
      <c r="DQ564" t="s">
        <v>1</v>
      </c>
      <c r="DR564">
        <v>7.4</v>
      </c>
      <c r="DS564">
        <v>0</v>
      </c>
      <c r="DT564">
        <v>30</v>
      </c>
      <c r="DU564" s="26" t="s">
        <v>1358</v>
      </c>
      <c r="EA564" t="s">
        <v>982</v>
      </c>
      <c r="EB564">
        <v>8</v>
      </c>
      <c r="EC564">
        <v>0</v>
      </c>
      <c r="ED564">
        <v>30</v>
      </c>
      <c r="EE564" s="26" t="s">
        <v>1358</v>
      </c>
      <c r="EF564" s="26"/>
      <c r="FZ564" t="s">
        <v>806</v>
      </c>
      <c r="GA564">
        <v>412.4</v>
      </c>
      <c r="GE564" s="26" t="s">
        <v>1358</v>
      </c>
      <c r="HA564" s="5" t="s">
        <v>1</v>
      </c>
      <c r="HB564" s="4" t="s">
        <v>1</v>
      </c>
      <c r="HC564" t="s">
        <v>1</v>
      </c>
      <c r="HD564" t="s">
        <v>1</v>
      </c>
      <c r="HE564" t="s">
        <v>1</v>
      </c>
      <c r="HF564" s="5" t="s">
        <v>1063</v>
      </c>
      <c r="HG564" s="4">
        <v>0.3</v>
      </c>
      <c r="HH564">
        <v>0</v>
      </c>
      <c r="HI564">
        <v>30</v>
      </c>
      <c r="HJ564" s="26" t="s">
        <v>1358</v>
      </c>
      <c r="HK564" t="s">
        <v>1</v>
      </c>
      <c r="HL564" t="s">
        <v>1</v>
      </c>
      <c r="HM564" t="s">
        <v>1</v>
      </c>
      <c r="HN564" t="s">
        <v>1</v>
      </c>
      <c r="HO564" t="s">
        <v>1</v>
      </c>
      <c r="HP564" t="s">
        <v>1</v>
      </c>
      <c r="HZ564" t="s">
        <v>1</v>
      </c>
      <c r="IA564" t="s">
        <v>1</v>
      </c>
      <c r="IB564" s="10" t="s">
        <v>1</v>
      </c>
      <c r="IC564" s="10"/>
      <c r="ID564" s="10"/>
      <c r="IE564" s="10" t="s">
        <v>1</v>
      </c>
      <c r="IF564" s="10" t="s">
        <v>1</v>
      </c>
      <c r="IG564" s="10"/>
      <c r="IH564" s="10"/>
      <c r="II564" s="10"/>
      <c r="IJ564" s="10"/>
      <c r="IK564" s="10"/>
      <c r="IL564" s="10"/>
      <c r="IM564" s="10"/>
      <c r="IN564" s="10"/>
      <c r="IO564" s="10"/>
      <c r="IP564" s="10"/>
      <c r="IQ564" s="10"/>
      <c r="IR564" s="10"/>
      <c r="IS564" t="s">
        <v>978</v>
      </c>
      <c r="IT564">
        <v>100</v>
      </c>
      <c r="IW564" t="s">
        <v>1</v>
      </c>
      <c r="IX564" t="s">
        <v>1</v>
      </c>
      <c r="IY564" t="s">
        <v>808</v>
      </c>
      <c r="IZ564">
        <v>2259</v>
      </c>
      <c r="JA564" t="s">
        <v>1</v>
      </c>
      <c r="JB564" s="3" t="s">
        <v>1</v>
      </c>
      <c r="JC564" t="s">
        <v>1</v>
      </c>
      <c r="JD564" s="4" t="s">
        <v>1</v>
      </c>
      <c r="JE564" t="s">
        <v>810</v>
      </c>
      <c r="JF564">
        <v>100</v>
      </c>
      <c r="JR564" t="s">
        <v>1066</v>
      </c>
      <c r="JS564">
        <v>0.7</v>
      </c>
      <c r="JU564" t="s">
        <v>1</v>
      </c>
      <c r="JW564" t="s">
        <v>1</v>
      </c>
      <c r="JX564">
        <v>0</v>
      </c>
      <c r="JY564">
        <v>85</v>
      </c>
      <c r="JZ564" t="s">
        <v>796</v>
      </c>
      <c r="KA564" t="s">
        <v>650</v>
      </c>
      <c r="KB564" t="s">
        <v>738</v>
      </c>
      <c r="KC564" t="s">
        <v>1</v>
      </c>
      <c r="KD564" t="s">
        <v>1</v>
      </c>
      <c r="KE564" t="s">
        <v>1</v>
      </c>
      <c r="KF564" t="s">
        <v>1</v>
      </c>
      <c r="KG564" t="s">
        <v>1</v>
      </c>
      <c r="KH564" t="s">
        <v>1</v>
      </c>
      <c r="KI564" t="s">
        <v>1</v>
      </c>
      <c r="KJ564" t="s">
        <v>1</v>
      </c>
      <c r="KK564" t="s">
        <v>1</v>
      </c>
    </row>
    <row r="565" spans="1:297" x14ac:dyDescent="0.2">
      <c r="A565">
        <v>533</v>
      </c>
      <c r="B565" t="s">
        <v>705</v>
      </c>
      <c r="C565" t="s">
        <v>659</v>
      </c>
      <c r="D565" t="s">
        <v>648</v>
      </c>
      <c r="E565">
        <v>88</v>
      </c>
      <c r="F565" t="s">
        <v>649</v>
      </c>
      <c r="G565" t="s">
        <v>648</v>
      </c>
      <c r="H565" s="26" t="s">
        <v>1420</v>
      </c>
      <c r="I565" t="s">
        <v>785</v>
      </c>
      <c r="J565">
        <v>2008</v>
      </c>
      <c r="K565" t="s">
        <v>1</v>
      </c>
      <c r="L565" t="s">
        <v>1</v>
      </c>
      <c r="M565">
        <v>369</v>
      </c>
      <c r="N565" t="s">
        <v>1</v>
      </c>
      <c r="O565" t="s">
        <v>1</v>
      </c>
      <c r="P565">
        <v>15</v>
      </c>
      <c r="Q565" t="s">
        <v>786</v>
      </c>
      <c r="R565" t="s">
        <v>787</v>
      </c>
      <c r="S565" t="b">
        <v>0</v>
      </c>
      <c r="T565" t="s">
        <v>1</v>
      </c>
      <c r="U565" t="s">
        <v>1</v>
      </c>
      <c r="V565" t="s">
        <v>1</v>
      </c>
      <c r="W565" t="s">
        <v>1</v>
      </c>
      <c r="X565" t="s">
        <v>1</v>
      </c>
      <c r="Y565" t="s">
        <v>1</v>
      </c>
      <c r="Z565" t="s">
        <v>1</v>
      </c>
      <c r="AA565" t="s">
        <v>1</v>
      </c>
      <c r="AB565" t="s">
        <v>1</v>
      </c>
      <c r="AC565" t="s">
        <v>1</v>
      </c>
      <c r="AD565" t="s">
        <v>1</v>
      </c>
      <c r="AE565" t="s">
        <v>1</v>
      </c>
      <c r="AF565" t="s">
        <v>1</v>
      </c>
      <c r="AG565" t="s">
        <v>1</v>
      </c>
      <c r="AH565" t="s">
        <v>1</v>
      </c>
      <c r="AI565" t="s">
        <v>1</v>
      </c>
      <c r="AJ565" t="s">
        <v>1</v>
      </c>
      <c r="AK565" t="s">
        <v>1</v>
      </c>
      <c r="AL565" t="s">
        <v>1</v>
      </c>
      <c r="AM565" t="s">
        <v>1</v>
      </c>
      <c r="AN565">
        <v>533</v>
      </c>
      <c r="AO565">
        <f t="shared" si="69"/>
        <v>533</v>
      </c>
      <c r="AP565">
        <f t="shared" si="72"/>
        <v>88</v>
      </c>
      <c r="AQ565">
        <f t="shared" si="73"/>
        <v>88</v>
      </c>
      <c r="AR565" s="26" t="s">
        <v>1355</v>
      </c>
      <c r="AS565" s="26" t="s">
        <v>1356</v>
      </c>
      <c r="AT565" t="s">
        <v>725</v>
      </c>
      <c r="AU565" t="s">
        <v>1</v>
      </c>
      <c r="AV565" t="s">
        <v>1</v>
      </c>
      <c r="AW565">
        <v>52</v>
      </c>
      <c r="AX565">
        <v>-0.43</v>
      </c>
      <c r="AY565" t="s">
        <v>737</v>
      </c>
      <c r="BA565" s="3">
        <v>3</v>
      </c>
      <c r="BB565" s="3"/>
      <c r="BC565" s="3"/>
      <c r="BD565" s="3"/>
      <c r="BE565" s="3"/>
      <c r="BF565">
        <v>2006</v>
      </c>
      <c r="BG565" s="24" t="s">
        <v>733</v>
      </c>
      <c r="BH565" s="24" t="s">
        <v>733</v>
      </c>
      <c r="BI565" s="24" t="s">
        <v>733</v>
      </c>
      <c r="BJ565" s="24" t="s">
        <v>732</v>
      </c>
      <c r="BK565" s="24" t="s">
        <v>733</v>
      </c>
      <c r="BL565" s="25" t="s">
        <v>733</v>
      </c>
      <c r="BM565" s="24" t="s">
        <v>733</v>
      </c>
      <c r="BN565" s="24" t="s">
        <v>732</v>
      </c>
      <c r="BO565" s="24" t="s">
        <v>733</v>
      </c>
      <c r="BP565" s="24" t="s">
        <v>733</v>
      </c>
      <c r="BQ565" s="24" t="s">
        <v>945</v>
      </c>
      <c r="BR565" s="24" t="s">
        <v>945</v>
      </c>
      <c r="BS565" s="25" t="s">
        <v>934</v>
      </c>
      <c r="BT565" s="24" t="s">
        <v>934</v>
      </c>
      <c r="BU565" s="24" t="s">
        <v>934</v>
      </c>
      <c r="BV565" s="24" t="s">
        <v>934</v>
      </c>
      <c r="BW565" s="24" t="s">
        <v>934</v>
      </c>
      <c r="BX565" s="24" t="s">
        <v>934</v>
      </c>
      <c r="BY565" s="25" t="s">
        <v>945</v>
      </c>
      <c r="BZ565" t="s">
        <v>5</v>
      </c>
      <c r="CB565" t="s">
        <v>1</v>
      </c>
      <c r="CC565" s="4" t="s">
        <v>1</v>
      </c>
      <c r="CD565" s="4"/>
      <c r="CE565" s="4"/>
      <c r="CF565" t="s">
        <v>1</v>
      </c>
      <c r="CG565" t="s">
        <v>1</v>
      </c>
      <c r="CH565" t="s">
        <v>805</v>
      </c>
      <c r="CI565" s="28">
        <v>1</v>
      </c>
      <c r="CJ565" s="10" t="s">
        <v>1442</v>
      </c>
      <c r="CK565" s="9" t="s">
        <v>1</v>
      </c>
      <c r="CL565" s="4" t="s">
        <v>1</v>
      </c>
      <c r="CM565" t="s">
        <v>847</v>
      </c>
      <c r="CN565" s="4">
        <v>25</v>
      </c>
      <c r="CO565" s="4" t="s">
        <v>1</v>
      </c>
      <c r="CP565" s="4" t="s">
        <v>1</v>
      </c>
      <c r="CQ565" s="4" t="s">
        <v>1</v>
      </c>
      <c r="CR565" s="4" t="s">
        <v>1</v>
      </c>
      <c r="CS565" s="4" t="s">
        <v>1</v>
      </c>
      <c r="CT565" s="4" t="s">
        <v>1</v>
      </c>
      <c r="CU565" s="4" t="s">
        <v>1</v>
      </c>
      <c r="CV565" t="s">
        <v>853</v>
      </c>
      <c r="CW565">
        <v>100</v>
      </c>
      <c r="CX565">
        <v>0</v>
      </c>
      <c r="CY565">
        <v>30</v>
      </c>
      <c r="CZ565" s="26" t="s">
        <v>1358</v>
      </c>
      <c r="DA565" t="s">
        <v>734</v>
      </c>
      <c r="DB565">
        <v>99.3</v>
      </c>
      <c r="DC565">
        <v>0</v>
      </c>
      <c r="DD565">
        <v>30</v>
      </c>
      <c r="DE565" s="26" t="s">
        <v>1358</v>
      </c>
      <c r="DF565" t="s">
        <v>735</v>
      </c>
      <c r="DG565">
        <v>0.6</v>
      </c>
      <c r="DH565">
        <v>0</v>
      </c>
      <c r="DI565">
        <v>30</v>
      </c>
      <c r="DJ565" s="26" t="s">
        <v>1358</v>
      </c>
      <c r="DK565" t="s">
        <v>736</v>
      </c>
      <c r="DL565">
        <v>0.1</v>
      </c>
      <c r="DM565">
        <v>0</v>
      </c>
      <c r="DN565">
        <v>30</v>
      </c>
      <c r="DO565" s="26" t="s">
        <v>1358</v>
      </c>
      <c r="DP565" t="s">
        <v>6</v>
      </c>
      <c r="DQ565" t="s">
        <v>1</v>
      </c>
      <c r="DR565">
        <v>7.4</v>
      </c>
      <c r="DS565">
        <v>0</v>
      </c>
      <c r="DT565">
        <v>30</v>
      </c>
      <c r="DU565" s="26" t="s">
        <v>1358</v>
      </c>
      <c r="EA565" t="s">
        <v>982</v>
      </c>
      <c r="EB565">
        <v>8</v>
      </c>
      <c r="EC565">
        <v>0</v>
      </c>
      <c r="ED565">
        <v>30</v>
      </c>
      <c r="EE565" s="26" t="s">
        <v>1358</v>
      </c>
      <c r="EF565" s="26"/>
      <c r="FZ565" t="s">
        <v>806</v>
      </c>
      <c r="GA565">
        <v>412.4</v>
      </c>
      <c r="GE565" s="26" t="s">
        <v>1358</v>
      </c>
      <c r="HA565" s="5" t="s">
        <v>1</v>
      </c>
      <c r="HB565" s="4" t="s">
        <v>1</v>
      </c>
      <c r="HC565" t="s">
        <v>1</v>
      </c>
      <c r="HD565" t="s">
        <v>1</v>
      </c>
      <c r="HE565" t="s">
        <v>1</v>
      </c>
      <c r="HF565" s="5" t="s">
        <v>1063</v>
      </c>
      <c r="HG565" s="4">
        <v>0.3</v>
      </c>
      <c r="HH565">
        <v>0</v>
      </c>
      <c r="HI565">
        <v>30</v>
      </c>
      <c r="HJ565" s="26" t="s">
        <v>1358</v>
      </c>
      <c r="HK565" t="s">
        <v>1</v>
      </c>
      <c r="HL565" t="s">
        <v>1</v>
      </c>
      <c r="HM565" t="s">
        <v>1</v>
      </c>
      <c r="HN565" t="s">
        <v>1</v>
      </c>
      <c r="HO565" t="s">
        <v>1</v>
      </c>
      <c r="HP565" t="s">
        <v>1</v>
      </c>
      <c r="HZ565" t="s">
        <v>1</v>
      </c>
      <c r="IA565" t="s">
        <v>1</v>
      </c>
      <c r="IB565" s="10" t="s">
        <v>1</v>
      </c>
      <c r="IC565" s="10"/>
      <c r="ID565" s="10"/>
      <c r="IE565" s="10" t="s">
        <v>1</v>
      </c>
      <c r="IF565" s="10" t="s">
        <v>1</v>
      </c>
      <c r="IG565" s="10"/>
      <c r="IH565" s="10"/>
      <c r="II565" s="10"/>
      <c r="IJ565" s="10"/>
      <c r="IK565" s="10"/>
      <c r="IL565" s="10"/>
      <c r="IM565" s="10"/>
      <c r="IN565" s="10"/>
      <c r="IO565" s="10"/>
      <c r="IP565" s="10"/>
      <c r="IQ565" s="10"/>
      <c r="IR565" s="10"/>
      <c r="IS565" t="s">
        <v>978</v>
      </c>
      <c r="IT565">
        <v>250</v>
      </c>
      <c r="IW565" t="s">
        <v>1</v>
      </c>
      <c r="IX565" t="s">
        <v>1</v>
      </c>
      <c r="IY565" t="s">
        <v>808</v>
      </c>
      <c r="IZ565">
        <v>2259</v>
      </c>
      <c r="JA565" t="s">
        <v>1</v>
      </c>
      <c r="JB565" s="3" t="s">
        <v>1</v>
      </c>
      <c r="JC565" t="s">
        <v>1</v>
      </c>
      <c r="JD565" s="4" t="s">
        <v>1</v>
      </c>
      <c r="JE565" t="s">
        <v>810</v>
      </c>
      <c r="JF565">
        <v>100</v>
      </c>
      <c r="JR565" t="s">
        <v>1066</v>
      </c>
      <c r="JS565">
        <v>0.9</v>
      </c>
      <c r="JU565" t="s">
        <v>1</v>
      </c>
      <c r="JW565" t="s">
        <v>1</v>
      </c>
      <c r="JX565">
        <v>0</v>
      </c>
      <c r="JY565">
        <v>85</v>
      </c>
      <c r="JZ565" t="s">
        <v>796</v>
      </c>
      <c r="KA565" t="s">
        <v>650</v>
      </c>
      <c r="KB565" t="s">
        <v>738</v>
      </c>
      <c r="KC565" t="s">
        <v>1</v>
      </c>
      <c r="KD565" t="s">
        <v>1</v>
      </c>
      <c r="KE565" t="s">
        <v>1</v>
      </c>
      <c r="KF565" t="s">
        <v>1</v>
      </c>
      <c r="KG565" t="s">
        <v>1</v>
      </c>
      <c r="KH565" t="s">
        <v>1</v>
      </c>
      <c r="KI565" t="s">
        <v>1</v>
      </c>
      <c r="KJ565" t="s">
        <v>1</v>
      </c>
      <c r="KK565" t="s">
        <v>1</v>
      </c>
    </row>
    <row r="566" spans="1:297" x14ac:dyDescent="0.2">
      <c r="A566">
        <v>534</v>
      </c>
      <c r="B566" t="s">
        <v>705</v>
      </c>
      <c r="C566" t="s">
        <v>660</v>
      </c>
      <c r="D566" t="s">
        <v>648</v>
      </c>
      <c r="E566">
        <v>88</v>
      </c>
      <c r="F566" t="s">
        <v>649</v>
      </c>
      <c r="G566" t="s">
        <v>648</v>
      </c>
      <c r="H566" s="26" t="s">
        <v>1420</v>
      </c>
      <c r="I566" t="s">
        <v>785</v>
      </c>
      <c r="J566">
        <v>2008</v>
      </c>
      <c r="K566" t="s">
        <v>1</v>
      </c>
      <c r="L566" t="s">
        <v>1</v>
      </c>
      <c r="M566">
        <v>369</v>
      </c>
      <c r="N566" t="s">
        <v>1</v>
      </c>
      <c r="O566" t="s">
        <v>1</v>
      </c>
      <c r="P566">
        <v>15</v>
      </c>
      <c r="Q566" t="s">
        <v>786</v>
      </c>
      <c r="R566" t="s">
        <v>787</v>
      </c>
      <c r="S566" t="b">
        <v>0</v>
      </c>
      <c r="T566" t="s">
        <v>1</v>
      </c>
      <c r="U566" t="s">
        <v>1</v>
      </c>
      <c r="V566" t="s">
        <v>1</v>
      </c>
      <c r="W566" t="s">
        <v>1</v>
      </c>
      <c r="X566" t="s">
        <v>1</v>
      </c>
      <c r="Y566" t="s">
        <v>1</v>
      </c>
      <c r="Z566" t="s">
        <v>1</v>
      </c>
      <c r="AA566" t="s">
        <v>1</v>
      </c>
      <c r="AB566" t="s">
        <v>1</v>
      </c>
      <c r="AC566" t="s">
        <v>1</v>
      </c>
      <c r="AD566" t="s">
        <v>1</v>
      </c>
      <c r="AE566" t="s">
        <v>1</v>
      </c>
      <c r="AF566" t="s">
        <v>1</v>
      </c>
      <c r="AG566" t="s">
        <v>1</v>
      </c>
      <c r="AH566" t="s">
        <v>1</v>
      </c>
      <c r="AI566" t="s">
        <v>1</v>
      </c>
      <c r="AJ566" t="s">
        <v>1</v>
      </c>
      <c r="AK566" t="s">
        <v>1</v>
      </c>
      <c r="AL566" t="s">
        <v>1</v>
      </c>
      <c r="AM566" t="s">
        <v>1</v>
      </c>
      <c r="AN566">
        <v>534</v>
      </c>
      <c r="AO566">
        <f t="shared" si="69"/>
        <v>534</v>
      </c>
      <c r="AP566">
        <f t="shared" si="72"/>
        <v>88</v>
      </c>
      <c r="AQ566">
        <f t="shared" si="73"/>
        <v>88</v>
      </c>
      <c r="AR566" s="26" t="s">
        <v>1355</v>
      </c>
      <c r="AS566" s="26" t="s">
        <v>1356</v>
      </c>
      <c r="AT566" t="s">
        <v>725</v>
      </c>
      <c r="AU566" t="s">
        <v>1</v>
      </c>
      <c r="AV566" t="s">
        <v>1</v>
      </c>
      <c r="AW566">
        <v>52</v>
      </c>
      <c r="AX566">
        <v>-0.43</v>
      </c>
      <c r="AY566" t="s">
        <v>737</v>
      </c>
      <c r="BA566" s="3">
        <v>3</v>
      </c>
      <c r="BB566" s="3"/>
      <c r="BC566" s="3"/>
      <c r="BD566" s="3"/>
      <c r="BE566" s="3"/>
      <c r="BF566">
        <v>2006</v>
      </c>
      <c r="BG566" s="24" t="s">
        <v>733</v>
      </c>
      <c r="BH566" s="24" t="s">
        <v>733</v>
      </c>
      <c r="BI566" s="24" t="s">
        <v>733</v>
      </c>
      <c r="BJ566" s="24" t="s">
        <v>732</v>
      </c>
      <c r="BK566" s="24" t="s">
        <v>733</v>
      </c>
      <c r="BL566" s="25" t="s">
        <v>733</v>
      </c>
      <c r="BM566" s="24" t="s">
        <v>733</v>
      </c>
      <c r="BN566" s="24" t="s">
        <v>732</v>
      </c>
      <c r="BO566" s="24" t="s">
        <v>733</v>
      </c>
      <c r="BP566" s="24" t="s">
        <v>733</v>
      </c>
      <c r="BQ566" s="24" t="s">
        <v>945</v>
      </c>
      <c r="BR566" s="24" t="s">
        <v>945</v>
      </c>
      <c r="BS566" s="25" t="s">
        <v>934</v>
      </c>
      <c r="BT566" s="24" t="s">
        <v>934</v>
      </c>
      <c r="BU566" s="24" t="s">
        <v>934</v>
      </c>
      <c r="BV566" s="24" t="s">
        <v>934</v>
      </c>
      <c r="BW566" s="24" t="s">
        <v>934</v>
      </c>
      <c r="BX566" s="24" t="s">
        <v>934</v>
      </c>
      <c r="BY566" s="25" t="s">
        <v>945</v>
      </c>
      <c r="BZ566" t="s">
        <v>5</v>
      </c>
      <c r="CB566" t="s">
        <v>1</v>
      </c>
      <c r="CC566" s="4" t="s">
        <v>1</v>
      </c>
      <c r="CD566" s="4"/>
      <c r="CE566" s="4"/>
      <c r="CF566" t="s">
        <v>1</v>
      </c>
      <c r="CG566" t="s">
        <v>1</v>
      </c>
      <c r="CH566" t="s">
        <v>805</v>
      </c>
      <c r="CI566" s="28">
        <v>1</v>
      </c>
      <c r="CJ566" s="10" t="s">
        <v>1442</v>
      </c>
      <c r="CK566" s="9" t="s">
        <v>1</v>
      </c>
      <c r="CL566" s="4" t="s">
        <v>1</v>
      </c>
      <c r="CM566" t="s">
        <v>847</v>
      </c>
      <c r="CN566" s="4">
        <v>31</v>
      </c>
      <c r="CO566" s="4" t="s">
        <v>1</v>
      </c>
      <c r="CP566" s="4" t="s">
        <v>1</v>
      </c>
      <c r="CQ566" s="4" t="s">
        <v>1</v>
      </c>
      <c r="CR566" s="4" t="s">
        <v>1</v>
      </c>
      <c r="CS566" s="4" t="s">
        <v>1</v>
      </c>
      <c r="CT566" s="4" t="s">
        <v>1</v>
      </c>
      <c r="CU566" s="4" t="s">
        <v>1</v>
      </c>
      <c r="CV566" t="s">
        <v>853</v>
      </c>
      <c r="CW566">
        <v>100</v>
      </c>
      <c r="CX566">
        <v>0</v>
      </c>
      <c r="CY566">
        <v>30</v>
      </c>
      <c r="CZ566" s="26" t="s">
        <v>1358</v>
      </c>
      <c r="DA566" t="s">
        <v>734</v>
      </c>
      <c r="DB566">
        <v>99.3</v>
      </c>
      <c r="DC566">
        <v>0</v>
      </c>
      <c r="DD566">
        <v>30</v>
      </c>
      <c r="DE566" s="26" t="s">
        <v>1358</v>
      </c>
      <c r="DF566" t="s">
        <v>735</v>
      </c>
      <c r="DG566">
        <v>0.6</v>
      </c>
      <c r="DH566">
        <v>0</v>
      </c>
      <c r="DI566">
        <v>30</v>
      </c>
      <c r="DJ566" s="26" t="s">
        <v>1358</v>
      </c>
      <c r="DK566" t="s">
        <v>736</v>
      </c>
      <c r="DL566">
        <v>0.1</v>
      </c>
      <c r="DM566">
        <v>0</v>
      </c>
      <c r="DN566">
        <v>30</v>
      </c>
      <c r="DO566" s="26" t="s">
        <v>1358</v>
      </c>
      <c r="DP566" t="s">
        <v>6</v>
      </c>
      <c r="DQ566" t="s">
        <v>1</v>
      </c>
      <c r="DR566">
        <v>7.4</v>
      </c>
      <c r="DS566">
        <v>0</v>
      </c>
      <c r="DT566">
        <v>30</v>
      </c>
      <c r="DU566" s="26" t="s">
        <v>1358</v>
      </c>
      <c r="EA566" t="s">
        <v>982</v>
      </c>
      <c r="EB566">
        <v>8</v>
      </c>
      <c r="EC566">
        <v>0</v>
      </c>
      <c r="ED566">
        <v>30</v>
      </c>
      <c r="EE566" s="26" t="s">
        <v>1358</v>
      </c>
      <c r="EF566" s="26"/>
      <c r="FZ566" t="s">
        <v>806</v>
      </c>
      <c r="GA566">
        <v>412.4</v>
      </c>
      <c r="GE566" s="26" t="s">
        <v>1358</v>
      </c>
      <c r="HA566" s="5" t="s">
        <v>1</v>
      </c>
      <c r="HB566" s="4" t="s">
        <v>1</v>
      </c>
      <c r="HC566" t="s">
        <v>1</v>
      </c>
      <c r="HD566" t="s">
        <v>1</v>
      </c>
      <c r="HE566" t="s">
        <v>1</v>
      </c>
      <c r="HF566" s="5" t="s">
        <v>1063</v>
      </c>
      <c r="HG566" s="4">
        <v>0.3</v>
      </c>
      <c r="HH566">
        <v>0</v>
      </c>
      <c r="HI566">
        <v>30</v>
      </c>
      <c r="HJ566" s="26" t="s">
        <v>1358</v>
      </c>
      <c r="HK566" t="s">
        <v>1</v>
      </c>
      <c r="HL566" t="s">
        <v>1</v>
      </c>
      <c r="HM566" t="s">
        <v>1</v>
      </c>
      <c r="HN566" t="s">
        <v>1</v>
      </c>
      <c r="HO566" t="s">
        <v>1</v>
      </c>
      <c r="HP566" t="s">
        <v>1</v>
      </c>
      <c r="HZ566" t="s">
        <v>1</v>
      </c>
      <c r="IA566" t="s">
        <v>1</v>
      </c>
      <c r="IB566" s="10" t="s">
        <v>1</v>
      </c>
      <c r="IC566" s="10"/>
      <c r="ID566" s="10"/>
      <c r="IE566" s="10" t="s">
        <v>1</v>
      </c>
      <c r="IF566" s="10" t="s">
        <v>1</v>
      </c>
      <c r="IG566" s="10"/>
      <c r="IH566" s="10"/>
      <c r="II566" s="10"/>
      <c r="IJ566" s="10"/>
      <c r="IK566" s="10"/>
      <c r="IL566" s="10"/>
      <c r="IM566" s="10"/>
      <c r="IN566" s="10"/>
      <c r="IO566" s="10"/>
      <c r="IP566" s="10"/>
      <c r="IQ566" s="10"/>
      <c r="IR566" s="10"/>
      <c r="IS566" t="s">
        <v>978</v>
      </c>
      <c r="IT566">
        <v>400</v>
      </c>
      <c r="IW566" t="s">
        <v>1</v>
      </c>
      <c r="IX566" t="s">
        <v>1</v>
      </c>
      <c r="IY566" t="s">
        <v>808</v>
      </c>
      <c r="IZ566">
        <v>2259</v>
      </c>
      <c r="JA566" t="s">
        <v>1</v>
      </c>
      <c r="JB566" s="3" t="s">
        <v>1</v>
      </c>
      <c r="JC566" t="s">
        <v>1</v>
      </c>
      <c r="JD566" s="4" t="s">
        <v>1</v>
      </c>
      <c r="JE566" t="s">
        <v>810</v>
      </c>
      <c r="JF566">
        <v>100</v>
      </c>
      <c r="JR566" t="s">
        <v>1066</v>
      </c>
      <c r="JS566">
        <v>0.8</v>
      </c>
      <c r="JU566" t="s">
        <v>1</v>
      </c>
      <c r="JW566" t="s">
        <v>1</v>
      </c>
      <c r="JX566">
        <v>0</v>
      </c>
      <c r="JY566">
        <v>85</v>
      </c>
      <c r="JZ566" t="s">
        <v>796</v>
      </c>
      <c r="KA566" t="s">
        <v>650</v>
      </c>
      <c r="KB566" t="s">
        <v>738</v>
      </c>
      <c r="KC566" t="s">
        <v>1</v>
      </c>
      <c r="KD566" t="s">
        <v>1</v>
      </c>
      <c r="KE566" t="s">
        <v>1</v>
      </c>
      <c r="KF566" t="s">
        <v>1</v>
      </c>
      <c r="KG566" t="s">
        <v>1</v>
      </c>
      <c r="KH566" t="s">
        <v>1</v>
      </c>
      <c r="KI566" t="s">
        <v>1</v>
      </c>
      <c r="KJ566" t="s">
        <v>1</v>
      </c>
      <c r="KK566" t="s">
        <v>1</v>
      </c>
    </row>
    <row r="567" spans="1:297" x14ac:dyDescent="0.2">
      <c r="A567">
        <v>535</v>
      </c>
      <c r="B567" t="s">
        <v>705</v>
      </c>
      <c r="C567" t="s">
        <v>661</v>
      </c>
      <c r="D567" t="s">
        <v>648</v>
      </c>
      <c r="E567">
        <v>88</v>
      </c>
      <c r="F567" t="s">
        <v>649</v>
      </c>
      <c r="G567" t="s">
        <v>648</v>
      </c>
      <c r="H567" s="26" t="s">
        <v>1420</v>
      </c>
      <c r="I567" t="s">
        <v>785</v>
      </c>
      <c r="J567">
        <v>2008</v>
      </c>
      <c r="K567" t="s">
        <v>1</v>
      </c>
      <c r="L567" t="s">
        <v>1</v>
      </c>
      <c r="M567">
        <v>369</v>
      </c>
      <c r="N567" t="s">
        <v>1</v>
      </c>
      <c r="O567" t="s">
        <v>1</v>
      </c>
      <c r="P567">
        <v>15</v>
      </c>
      <c r="Q567" t="s">
        <v>786</v>
      </c>
      <c r="R567" t="s">
        <v>787</v>
      </c>
      <c r="S567" t="b">
        <v>0</v>
      </c>
      <c r="T567" t="s">
        <v>1</v>
      </c>
      <c r="U567" t="s">
        <v>1</v>
      </c>
      <c r="V567" t="s">
        <v>1</v>
      </c>
      <c r="W567" t="s">
        <v>1</v>
      </c>
      <c r="X567" t="s">
        <v>1</v>
      </c>
      <c r="Y567" t="s">
        <v>1</v>
      </c>
      <c r="Z567" t="s">
        <v>1</v>
      </c>
      <c r="AA567" t="s">
        <v>1</v>
      </c>
      <c r="AB567" t="s">
        <v>1</v>
      </c>
      <c r="AC567" t="s">
        <v>1</v>
      </c>
      <c r="AD567" t="s">
        <v>1</v>
      </c>
      <c r="AE567" t="s">
        <v>1</v>
      </c>
      <c r="AF567" t="s">
        <v>1</v>
      </c>
      <c r="AG567" t="s">
        <v>1</v>
      </c>
      <c r="AH567" t="s">
        <v>1</v>
      </c>
      <c r="AI567" t="s">
        <v>1</v>
      </c>
      <c r="AJ567" t="s">
        <v>1</v>
      </c>
      <c r="AK567" t="s">
        <v>1</v>
      </c>
      <c r="AL567" t="s">
        <v>1</v>
      </c>
      <c r="AM567" t="s">
        <v>1</v>
      </c>
      <c r="AN567">
        <v>535</v>
      </c>
      <c r="AO567">
        <f t="shared" si="69"/>
        <v>535</v>
      </c>
      <c r="AP567">
        <f t="shared" si="72"/>
        <v>88</v>
      </c>
      <c r="AQ567">
        <f t="shared" si="73"/>
        <v>88</v>
      </c>
      <c r="AR567" s="26" t="s">
        <v>1355</v>
      </c>
      <c r="AS567" s="26" t="s">
        <v>1356</v>
      </c>
      <c r="AT567" t="s">
        <v>725</v>
      </c>
      <c r="AU567" t="s">
        <v>1</v>
      </c>
      <c r="AV567" t="s">
        <v>1</v>
      </c>
      <c r="AW567">
        <v>52</v>
      </c>
      <c r="AX567">
        <v>-0.43</v>
      </c>
      <c r="AY567" t="s">
        <v>737</v>
      </c>
      <c r="BA567" s="3">
        <v>3</v>
      </c>
      <c r="BB567" s="3"/>
      <c r="BC567" s="3"/>
      <c r="BD567" s="3"/>
      <c r="BE567" s="3"/>
      <c r="BF567">
        <v>2006</v>
      </c>
      <c r="BG567" s="24" t="s">
        <v>733</v>
      </c>
      <c r="BH567" s="24" t="s">
        <v>733</v>
      </c>
      <c r="BI567" s="24" t="s">
        <v>733</v>
      </c>
      <c r="BJ567" s="24" t="s">
        <v>732</v>
      </c>
      <c r="BK567" s="24" t="s">
        <v>733</v>
      </c>
      <c r="BL567" s="25" t="s">
        <v>733</v>
      </c>
      <c r="BM567" s="24" t="s">
        <v>733</v>
      </c>
      <c r="BN567" s="24" t="s">
        <v>732</v>
      </c>
      <c r="BO567" s="24" t="s">
        <v>733</v>
      </c>
      <c r="BP567" s="24" t="s">
        <v>733</v>
      </c>
      <c r="BQ567" s="24" t="s">
        <v>945</v>
      </c>
      <c r="BR567" s="24" t="s">
        <v>945</v>
      </c>
      <c r="BS567" s="25" t="s">
        <v>934</v>
      </c>
      <c r="BT567" s="24" t="s">
        <v>934</v>
      </c>
      <c r="BU567" s="24" t="s">
        <v>934</v>
      </c>
      <c r="BV567" s="24" t="s">
        <v>934</v>
      </c>
      <c r="BW567" s="24" t="s">
        <v>934</v>
      </c>
      <c r="BX567" s="24" t="s">
        <v>934</v>
      </c>
      <c r="BY567" s="25" t="s">
        <v>945</v>
      </c>
      <c r="BZ567" t="s">
        <v>5</v>
      </c>
      <c r="CB567" t="s">
        <v>1</v>
      </c>
      <c r="CC567" s="4" t="s">
        <v>1</v>
      </c>
      <c r="CD567" s="4"/>
      <c r="CE567" s="4"/>
      <c r="CF567" t="s">
        <v>1</v>
      </c>
      <c r="CG567" t="s">
        <v>1</v>
      </c>
      <c r="CH567" t="s">
        <v>805</v>
      </c>
      <c r="CI567" s="28">
        <v>1</v>
      </c>
      <c r="CJ567" s="10" t="s">
        <v>1442</v>
      </c>
      <c r="CK567" s="9" t="s">
        <v>1</v>
      </c>
      <c r="CL567" s="4" t="s">
        <v>1</v>
      </c>
      <c r="CM567" t="s">
        <v>847</v>
      </c>
      <c r="CN567" s="4">
        <v>45</v>
      </c>
      <c r="CO567" s="4" t="s">
        <v>1</v>
      </c>
      <c r="CP567" s="4" t="s">
        <v>1</v>
      </c>
      <c r="CQ567" s="4" t="s">
        <v>1</v>
      </c>
      <c r="CR567" s="4" t="s">
        <v>1</v>
      </c>
      <c r="CS567" s="4" t="s">
        <v>1</v>
      </c>
      <c r="CT567" s="4" t="s">
        <v>1</v>
      </c>
      <c r="CU567" s="4" t="s">
        <v>1</v>
      </c>
      <c r="CV567" t="s">
        <v>853</v>
      </c>
      <c r="CW567">
        <v>100</v>
      </c>
      <c r="CX567">
        <v>0</v>
      </c>
      <c r="CY567">
        <v>30</v>
      </c>
      <c r="CZ567" s="26" t="s">
        <v>1358</v>
      </c>
      <c r="DA567" t="s">
        <v>734</v>
      </c>
      <c r="DB567">
        <v>99.3</v>
      </c>
      <c r="DC567">
        <v>0</v>
      </c>
      <c r="DD567">
        <v>30</v>
      </c>
      <c r="DE567" s="26" t="s">
        <v>1358</v>
      </c>
      <c r="DF567" t="s">
        <v>735</v>
      </c>
      <c r="DG567">
        <v>0.6</v>
      </c>
      <c r="DH567">
        <v>0</v>
      </c>
      <c r="DI567">
        <v>30</v>
      </c>
      <c r="DJ567" s="26" t="s">
        <v>1358</v>
      </c>
      <c r="DK567" t="s">
        <v>736</v>
      </c>
      <c r="DL567">
        <v>0.1</v>
      </c>
      <c r="DM567">
        <v>0</v>
      </c>
      <c r="DN567">
        <v>30</v>
      </c>
      <c r="DO567" s="26" t="s">
        <v>1358</v>
      </c>
      <c r="DP567" t="s">
        <v>6</v>
      </c>
      <c r="DQ567" t="s">
        <v>1</v>
      </c>
      <c r="DR567">
        <v>7.4</v>
      </c>
      <c r="DS567">
        <v>0</v>
      </c>
      <c r="DT567">
        <v>30</v>
      </c>
      <c r="DU567" s="26" t="s">
        <v>1358</v>
      </c>
      <c r="EA567" t="s">
        <v>982</v>
      </c>
      <c r="EB567">
        <v>8</v>
      </c>
      <c r="EC567">
        <v>0</v>
      </c>
      <c r="ED567">
        <v>30</v>
      </c>
      <c r="EE567" s="26" t="s">
        <v>1358</v>
      </c>
      <c r="EF567" s="26"/>
      <c r="FZ567" t="s">
        <v>806</v>
      </c>
      <c r="GA567">
        <v>412.4</v>
      </c>
      <c r="GE567" s="26" t="s">
        <v>1358</v>
      </c>
      <c r="HA567" s="5" t="s">
        <v>1</v>
      </c>
      <c r="HB567" s="4" t="s">
        <v>1</v>
      </c>
      <c r="HC567" t="s">
        <v>1</v>
      </c>
      <c r="HD567" t="s">
        <v>1</v>
      </c>
      <c r="HE567" t="s">
        <v>1</v>
      </c>
      <c r="HF567" s="5" t="s">
        <v>1063</v>
      </c>
      <c r="HG567" s="4">
        <v>0.3</v>
      </c>
      <c r="HH567">
        <v>0</v>
      </c>
      <c r="HI567">
        <v>30</v>
      </c>
      <c r="HJ567" s="26" t="s">
        <v>1358</v>
      </c>
      <c r="HK567" t="s">
        <v>1</v>
      </c>
      <c r="HL567" t="s">
        <v>1</v>
      </c>
      <c r="HM567" t="s">
        <v>1</v>
      </c>
      <c r="HN567" t="s">
        <v>1</v>
      </c>
      <c r="HO567" t="s">
        <v>1</v>
      </c>
      <c r="HP567" t="s">
        <v>1</v>
      </c>
      <c r="HZ567" t="s">
        <v>1</v>
      </c>
      <c r="IA567" t="s">
        <v>1</v>
      </c>
      <c r="IB567" s="10" t="s">
        <v>1</v>
      </c>
      <c r="IC567" s="10"/>
      <c r="ID567" s="10"/>
      <c r="IE567" s="10" t="s">
        <v>1</v>
      </c>
      <c r="IF567" s="10" t="s">
        <v>1</v>
      </c>
      <c r="IG567" s="10"/>
      <c r="IH567" s="10"/>
      <c r="II567" s="10"/>
      <c r="IJ567" s="10"/>
      <c r="IK567" s="10"/>
      <c r="IL567" s="10"/>
      <c r="IM567" s="10"/>
      <c r="IN567" s="10"/>
      <c r="IO567" s="10"/>
      <c r="IP567" s="10"/>
      <c r="IQ567" s="10"/>
      <c r="IR567" s="10"/>
      <c r="IS567" t="s">
        <v>978</v>
      </c>
      <c r="IT567">
        <v>600</v>
      </c>
      <c r="IW567" t="s">
        <v>1</v>
      </c>
      <c r="IX567" t="s">
        <v>1</v>
      </c>
      <c r="IY567" t="s">
        <v>808</v>
      </c>
      <c r="IZ567">
        <v>2259</v>
      </c>
      <c r="JA567" t="s">
        <v>1</v>
      </c>
      <c r="JB567" s="3" t="s">
        <v>1</v>
      </c>
      <c r="JC567" t="s">
        <v>1</v>
      </c>
      <c r="JD567" s="4" t="s">
        <v>1</v>
      </c>
      <c r="JE567" t="s">
        <v>810</v>
      </c>
      <c r="JF567">
        <v>100</v>
      </c>
      <c r="JR567" t="s">
        <v>1066</v>
      </c>
      <c r="JS567">
        <v>0.8</v>
      </c>
      <c r="JU567" t="s">
        <v>1</v>
      </c>
      <c r="JW567" t="s">
        <v>1</v>
      </c>
      <c r="JX567">
        <v>0</v>
      </c>
      <c r="JY567">
        <v>85</v>
      </c>
      <c r="JZ567" t="s">
        <v>796</v>
      </c>
      <c r="KA567" t="s">
        <v>650</v>
      </c>
      <c r="KB567" t="s">
        <v>738</v>
      </c>
      <c r="KC567" t="s">
        <v>1</v>
      </c>
      <c r="KD567" t="s">
        <v>1</v>
      </c>
      <c r="KE567" t="s">
        <v>1</v>
      </c>
      <c r="KF567" t="s">
        <v>1</v>
      </c>
      <c r="KG567" t="s">
        <v>1</v>
      </c>
      <c r="KH567" t="s">
        <v>1</v>
      </c>
      <c r="KI567" t="s">
        <v>1</v>
      </c>
      <c r="KJ567" t="s">
        <v>1</v>
      </c>
      <c r="KK567" t="s">
        <v>1</v>
      </c>
    </row>
    <row r="568" spans="1:297" x14ac:dyDescent="0.2">
      <c r="A568">
        <v>536</v>
      </c>
      <c r="B568" t="s">
        <v>705</v>
      </c>
      <c r="C568" t="s">
        <v>663</v>
      </c>
      <c r="D568" t="s">
        <v>662</v>
      </c>
      <c r="E568">
        <v>89</v>
      </c>
      <c r="F568" t="s">
        <v>1341</v>
      </c>
      <c r="G568" t="s">
        <v>1</v>
      </c>
      <c r="H568" s="26" t="s">
        <v>1420</v>
      </c>
      <c r="I568" t="s">
        <v>1</v>
      </c>
      <c r="J568" t="s">
        <v>1</v>
      </c>
      <c r="K568" t="s">
        <v>1</v>
      </c>
      <c r="L568" t="s">
        <v>1</v>
      </c>
      <c r="M568" t="s">
        <v>1</v>
      </c>
      <c r="N568" t="s">
        <v>1</v>
      </c>
      <c r="O568" t="s">
        <v>1</v>
      </c>
      <c r="P568" t="s">
        <v>1</v>
      </c>
      <c r="Q568" t="s">
        <v>1</v>
      </c>
      <c r="R568" t="s">
        <v>1</v>
      </c>
      <c r="S568" t="s">
        <v>1</v>
      </c>
      <c r="T568" t="s">
        <v>1</v>
      </c>
      <c r="U568" t="s">
        <v>1</v>
      </c>
      <c r="V568" t="s">
        <v>1</v>
      </c>
      <c r="W568" t="s">
        <v>1</v>
      </c>
      <c r="X568" t="s">
        <v>1</v>
      </c>
      <c r="Y568" t="s">
        <v>1</v>
      </c>
      <c r="Z568" t="s">
        <v>1</v>
      </c>
      <c r="AA568" t="s">
        <v>1</v>
      </c>
      <c r="AB568" t="s">
        <v>1</v>
      </c>
      <c r="AC568" t="s">
        <v>1</v>
      </c>
      <c r="AD568" t="s">
        <v>1</v>
      </c>
      <c r="AE568" t="s">
        <v>1</v>
      </c>
      <c r="AF568" t="s">
        <v>1</v>
      </c>
      <c r="AG568" t="s">
        <v>1</v>
      </c>
      <c r="AH568" t="s">
        <v>1</v>
      </c>
      <c r="AI568" t="s">
        <v>1</v>
      </c>
      <c r="AJ568" t="s">
        <v>1</v>
      </c>
      <c r="AK568" t="s">
        <v>1</v>
      </c>
      <c r="AL568" t="s">
        <v>1</v>
      </c>
      <c r="AM568" t="s">
        <v>1</v>
      </c>
      <c r="AN568">
        <v>536</v>
      </c>
      <c r="AO568">
        <f t="shared" si="69"/>
        <v>536</v>
      </c>
      <c r="AP568">
        <f t="shared" si="72"/>
        <v>89</v>
      </c>
      <c r="AQ568">
        <f t="shared" si="73"/>
        <v>89</v>
      </c>
      <c r="AR568" s="26" t="s">
        <v>1355</v>
      </c>
      <c r="AS568" s="26" t="s">
        <v>1356</v>
      </c>
      <c r="AT568" t="s">
        <v>725</v>
      </c>
      <c r="AU568" t="s">
        <v>1</v>
      </c>
      <c r="AV568" t="s">
        <v>1</v>
      </c>
      <c r="AW568">
        <v>51.82</v>
      </c>
      <c r="AX568">
        <v>-0.35</v>
      </c>
      <c r="AY568" t="s">
        <v>737</v>
      </c>
      <c r="BA568" s="3">
        <v>4</v>
      </c>
      <c r="BB568" s="3"/>
      <c r="BC568" s="3"/>
      <c r="BD568" s="3"/>
      <c r="BE568" s="3"/>
      <c r="BF568">
        <v>1998</v>
      </c>
      <c r="BG568" s="24" t="s">
        <v>733</v>
      </c>
      <c r="BH568" s="24" t="s">
        <v>733</v>
      </c>
      <c r="BI568" s="24" t="s">
        <v>733</v>
      </c>
      <c r="BJ568" s="24" t="s">
        <v>732</v>
      </c>
      <c r="BK568" s="24" t="s">
        <v>733</v>
      </c>
      <c r="BL568" s="25" t="s">
        <v>733</v>
      </c>
      <c r="BM568" s="24" t="s">
        <v>733</v>
      </c>
      <c r="BN568" s="24" t="s">
        <v>732</v>
      </c>
      <c r="BO568" s="24" t="s">
        <v>733</v>
      </c>
      <c r="BP568" s="24" t="s">
        <v>733</v>
      </c>
      <c r="BQ568" s="24" t="s">
        <v>945</v>
      </c>
      <c r="BR568" s="24" t="s">
        <v>945</v>
      </c>
      <c r="BS568" s="25" t="s">
        <v>934</v>
      </c>
      <c r="BT568" s="24" t="s">
        <v>934</v>
      </c>
      <c r="BU568" s="24" t="s">
        <v>934</v>
      </c>
      <c r="BV568" s="24" t="s">
        <v>934</v>
      </c>
      <c r="BW568" s="24" t="s">
        <v>934</v>
      </c>
      <c r="BX568" s="24" t="s">
        <v>934</v>
      </c>
      <c r="BY568" s="25" t="s">
        <v>945</v>
      </c>
      <c r="BZ568" t="s">
        <v>62</v>
      </c>
      <c r="CB568" t="s">
        <v>63</v>
      </c>
      <c r="CC568" s="4">
        <v>1082.5</v>
      </c>
      <c r="CD568" s="4"/>
      <c r="CE568" s="4"/>
      <c r="CF568" t="s">
        <v>793</v>
      </c>
      <c r="CG568">
        <v>100</v>
      </c>
      <c r="CH568" t="s">
        <v>805</v>
      </c>
      <c r="CI568" s="28">
        <v>1.7</v>
      </c>
      <c r="CJ568" s="10" t="s">
        <v>1442</v>
      </c>
      <c r="CK568" s="9" t="s">
        <v>1</v>
      </c>
      <c r="CL568" s="4" t="s">
        <v>1</v>
      </c>
      <c r="CM568" t="s">
        <v>848</v>
      </c>
      <c r="CN568" s="15">
        <v>16.100000000000001</v>
      </c>
      <c r="CO568" s="4" t="s">
        <v>1</v>
      </c>
      <c r="CP568" s="4" t="s">
        <v>1</v>
      </c>
      <c r="CQ568" s="4" t="s">
        <v>1</v>
      </c>
      <c r="CR568" s="4" t="s">
        <v>1</v>
      </c>
      <c r="CS568" s="4" t="s">
        <v>1</v>
      </c>
      <c r="CT568" s="4" t="s">
        <v>1</v>
      </c>
      <c r="CU568" s="4" t="s">
        <v>1</v>
      </c>
      <c r="CV568" t="s">
        <v>1068</v>
      </c>
      <c r="CW568">
        <v>100</v>
      </c>
      <c r="CX568">
        <v>0</v>
      </c>
      <c r="CY568">
        <v>30</v>
      </c>
      <c r="CZ568" s="26" t="s">
        <v>1358</v>
      </c>
      <c r="DA568" t="s">
        <v>734</v>
      </c>
      <c r="DB568">
        <v>20</v>
      </c>
      <c r="DC568">
        <v>0</v>
      </c>
      <c r="DD568">
        <v>30</v>
      </c>
      <c r="DE568" s="26" t="s">
        <v>1358</v>
      </c>
      <c r="DF568" t="s">
        <v>735</v>
      </c>
      <c r="DG568">
        <v>58</v>
      </c>
      <c r="DH568">
        <v>0</v>
      </c>
      <c r="DI568">
        <v>30</v>
      </c>
      <c r="DJ568" s="26" t="s">
        <v>1358</v>
      </c>
      <c r="DK568" t="s">
        <v>736</v>
      </c>
      <c r="DL568">
        <v>22</v>
      </c>
      <c r="DM568">
        <v>0</v>
      </c>
      <c r="DN568">
        <v>30</v>
      </c>
      <c r="DO568" s="26" t="s">
        <v>1358</v>
      </c>
      <c r="DP568" t="s">
        <v>6</v>
      </c>
      <c r="DQ568" t="s">
        <v>1</v>
      </c>
      <c r="DR568">
        <v>7.8</v>
      </c>
      <c r="DS568">
        <v>0</v>
      </c>
      <c r="DT568">
        <v>30</v>
      </c>
      <c r="DU568" s="26" t="s">
        <v>1358</v>
      </c>
      <c r="EA568" t="s">
        <v>982</v>
      </c>
      <c r="EB568">
        <v>10</v>
      </c>
      <c r="EC568">
        <v>0</v>
      </c>
      <c r="ED568">
        <v>30</v>
      </c>
      <c r="EE568" s="26" t="s">
        <v>1358</v>
      </c>
      <c r="EF568" s="26"/>
      <c r="FZ568" t="s">
        <v>806</v>
      </c>
      <c r="GA568">
        <v>696</v>
      </c>
      <c r="GE568" s="26" t="s">
        <v>1358</v>
      </c>
      <c r="HA568" s="5" t="s">
        <v>1069</v>
      </c>
      <c r="HB568" s="4">
        <v>14.4</v>
      </c>
      <c r="HC568">
        <v>0</v>
      </c>
      <c r="HD568">
        <v>30</v>
      </c>
      <c r="HE568" s="26" t="s">
        <v>1358</v>
      </c>
      <c r="HF568" s="5" t="s">
        <v>1063</v>
      </c>
      <c r="HG568" s="4">
        <v>1</v>
      </c>
      <c r="HH568">
        <v>0</v>
      </c>
      <c r="HI568">
        <v>30</v>
      </c>
      <c r="HJ568" s="26" t="s">
        <v>1358</v>
      </c>
      <c r="HK568" t="s">
        <v>1</v>
      </c>
      <c r="HL568" t="s">
        <v>1</v>
      </c>
      <c r="HM568" t="s">
        <v>1</v>
      </c>
      <c r="HN568" t="s">
        <v>1</v>
      </c>
      <c r="HO568" t="s">
        <v>1</v>
      </c>
      <c r="HP568" t="s">
        <v>1</v>
      </c>
      <c r="HZ568" t="s">
        <v>1</v>
      </c>
      <c r="IA568" t="s">
        <v>1</v>
      </c>
      <c r="IB568" s="10" t="s">
        <v>1</v>
      </c>
      <c r="IC568" s="10"/>
      <c r="ID568" s="10"/>
      <c r="IE568" s="10" t="s">
        <v>1</v>
      </c>
      <c r="IF568" s="10" t="s">
        <v>1</v>
      </c>
      <c r="IG568" s="10"/>
      <c r="IH568" s="10"/>
      <c r="II568" s="10"/>
      <c r="IJ568" s="10"/>
      <c r="IK568" s="10"/>
      <c r="IL568" s="10"/>
      <c r="IM568" s="10"/>
      <c r="IN568" s="10"/>
      <c r="IO568" s="10"/>
      <c r="IP568" s="10"/>
      <c r="IQ568" s="10"/>
      <c r="IR568" s="10"/>
      <c r="IS568" t="s">
        <v>1</v>
      </c>
      <c r="IT568" t="s">
        <v>1</v>
      </c>
      <c r="IW568" t="s">
        <v>1</v>
      </c>
      <c r="IX568" t="s">
        <v>1</v>
      </c>
      <c r="IY568" t="s">
        <v>1</v>
      </c>
      <c r="IZ568" t="s">
        <v>1</v>
      </c>
      <c r="JA568" t="s">
        <v>1</v>
      </c>
      <c r="JB568" s="3" t="s">
        <v>1</v>
      </c>
      <c r="JC568" t="s">
        <v>1</v>
      </c>
      <c r="JD568" s="4" t="s">
        <v>1</v>
      </c>
      <c r="JE568" t="s">
        <v>1</v>
      </c>
      <c r="JF568" t="s">
        <v>1</v>
      </c>
      <c r="JR568" t="s">
        <v>1066</v>
      </c>
      <c r="JS568">
        <v>47</v>
      </c>
      <c r="JU568" t="s">
        <v>1</v>
      </c>
      <c r="JW568" t="s">
        <v>1</v>
      </c>
      <c r="JX568">
        <v>0</v>
      </c>
      <c r="JY568">
        <v>75</v>
      </c>
      <c r="JZ568" t="s">
        <v>797</v>
      </c>
      <c r="KA568" t="s">
        <v>664</v>
      </c>
      <c r="KB568" t="s">
        <v>738</v>
      </c>
      <c r="KC568" t="s">
        <v>1</v>
      </c>
      <c r="KD568" t="s">
        <v>1</v>
      </c>
      <c r="KE568" t="s">
        <v>1</v>
      </c>
      <c r="KF568" t="s">
        <v>1</v>
      </c>
      <c r="KG568" t="s">
        <v>1</v>
      </c>
      <c r="KH568" t="s">
        <v>1</v>
      </c>
      <c r="KI568" t="s">
        <v>1</v>
      </c>
      <c r="KJ568" t="s">
        <v>1</v>
      </c>
      <c r="KK568" t="s">
        <v>1</v>
      </c>
    </row>
    <row r="569" spans="1:297" x14ac:dyDescent="0.2">
      <c r="A569">
        <v>537</v>
      </c>
      <c r="B569" t="s">
        <v>705</v>
      </c>
      <c r="C569" t="s">
        <v>665</v>
      </c>
      <c r="D569" t="s">
        <v>662</v>
      </c>
      <c r="E569">
        <v>89</v>
      </c>
      <c r="F569" t="s">
        <v>1341</v>
      </c>
      <c r="G569" t="s">
        <v>1</v>
      </c>
      <c r="H569" s="26" t="s">
        <v>1420</v>
      </c>
      <c r="I569" t="s">
        <v>1</v>
      </c>
      <c r="J569" t="s">
        <v>1</v>
      </c>
      <c r="K569" t="s">
        <v>1</v>
      </c>
      <c r="L569" t="s">
        <v>1</v>
      </c>
      <c r="M569" t="s">
        <v>1</v>
      </c>
      <c r="N569" t="s">
        <v>1</v>
      </c>
      <c r="O569" t="s">
        <v>1</v>
      </c>
      <c r="P569" t="s">
        <v>1</v>
      </c>
      <c r="Q569" t="s">
        <v>1</v>
      </c>
      <c r="R569" t="s">
        <v>1</v>
      </c>
      <c r="S569" t="s">
        <v>1</v>
      </c>
      <c r="T569" t="s">
        <v>1</v>
      </c>
      <c r="U569" t="s">
        <v>1</v>
      </c>
      <c r="V569" t="s">
        <v>1</v>
      </c>
      <c r="W569" t="s">
        <v>1</v>
      </c>
      <c r="X569" t="s">
        <v>1</v>
      </c>
      <c r="Y569" t="s">
        <v>1</v>
      </c>
      <c r="Z569" t="s">
        <v>1</v>
      </c>
      <c r="AA569" t="s">
        <v>1</v>
      </c>
      <c r="AB569" t="s">
        <v>1</v>
      </c>
      <c r="AC569" t="s">
        <v>1</v>
      </c>
      <c r="AD569" t="s">
        <v>1</v>
      </c>
      <c r="AE569" t="s">
        <v>1</v>
      </c>
      <c r="AF569" t="s">
        <v>1</v>
      </c>
      <c r="AG569" t="s">
        <v>1</v>
      </c>
      <c r="AH569" t="s">
        <v>1</v>
      </c>
      <c r="AI569" t="s">
        <v>1</v>
      </c>
      <c r="AJ569" t="s">
        <v>1</v>
      </c>
      <c r="AK569" t="s">
        <v>1</v>
      </c>
      <c r="AL569" t="s">
        <v>1</v>
      </c>
      <c r="AM569" t="s">
        <v>1</v>
      </c>
      <c r="AN569">
        <v>537</v>
      </c>
      <c r="AO569">
        <f t="shared" si="69"/>
        <v>537</v>
      </c>
      <c r="AP569">
        <f t="shared" si="72"/>
        <v>89</v>
      </c>
      <c r="AQ569">
        <f t="shared" si="73"/>
        <v>89</v>
      </c>
      <c r="AR569" s="26" t="s">
        <v>1355</v>
      </c>
      <c r="AS569" s="26" t="s">
        <v>1356</v>
      </c>
      <c r="AT569" t="s">
        <v>725</v>
      </c>
      <c r="AU569" t="s">
        <v>1</v>
      </c>
      <c r="AV569" t="s">
        <v>1</v>
      </c>
      <c r="AW569">
        <v>51.82</v>
      </c>
      <c r="AX569">
        <v>-0.35</v>
      </c>
      <c r="AY569" t="s">
        <v>737</v>
      </c>
      <c r="BA569" s="3">
        <v>4</v>
      </c>
      <c r="BB569" s="3"/>
      <c r="BC569" s="3"/>
      <c r="BD569" s="3"/>
      <c r="BE569" s="3"/>
      <c r="BF569">
        <v>1998</v>
      </c>
      <c r="BG569" s="24" t="s">
        <v>733</v>
      </c>
      <c r="BH569" s="24" t="s">
        <v>733</v>
      </c>
      <c r="BI569" s="24" t="s">
        <v>733</v>
      </c>
      <c r="BJ569" s="24" t="s">
        <v>732</v>
      </c>
      <c r="BK569" s="24" t="s">
        <v>733</v>
      </c>
      <c r="BL569" s="25" t="s">
        <v>733</v>
      </c>
      <c r="BM569" s="24" t="s">
        <v>733</v>
      </c>
      <c r="BN569" s="24" t="s">
        <v>732</v>
      </c>
      <c r="BO569" s="24" t="s">
        <v>733</v>
      </c>
      <c r="BP569" s="24" t="s">
        <v>733</v>
      </c>
      <c r="BQ569" s="24" t="s">
        <v>945</v>
      </c>
      <c r="BR569" s="24" t="s">
        <v>945</v>
      </c>
      <c r="BS569" s="25" t="s">
        <v>934</v>
      </c>
      <c r="BT569" s="24" t="s">
        <v>934</v>
      </c>
      <c r="BU569" s="24" t="s">
        <v>934</v>
      </c>
      <c r="BV569" s="24" t="s">
        <v>934</v>
      </c>
      <c r="BW569" s="24" t="s">
        <v>934</v>
      </c>
      <c r="BX569" s="24" t="s">
        <v>934</v>
      </c>
      <c r="BY569" s="25" t="s">
        <v>945</v>
      </c>
      <c r="BZ569" t="s">
        <v>62</v>
      </c>
      <c r="CB569" t="s">
        <v>63</v>
      </c>
      <c r="CC569" s="4">
        <v>3535</v>
      </c>
      <c r="CD569" s="4"/>
      <c r="CE569" s="4"/>
      <c r="CF569" t="s">
        <v>793</v>
      </c>
      <c r="CG569">
        <v>100</v>
      </c>
      <c r="CH569" t="s">
        <v>805</v>
      </c>
      <c r="CI569" s="28">
        <v>1.7</v>
      </c>
      <c r="CJ569" s="10" t="s">
        <v>1442</v>
      </c>
      <c r="CK569" s="9" t="s">
        <v>1</v>
      </c>
      <c r="CL569" s="4" t="s">
        <v>1</v>
      </c>
      <c r="CM569" t="s">
        <v>848</v>
      </c>
      <c r="CN569" s="15">
        <v>50.7</v>
      </c>
      <c r="CO569" s="4" t="s">
        <v>1</v>
      </c>
      <c r="CP569" s="4" t="s">
        <v>1</v>
      </c>
      <c r="CQ569" s="4" t="s">
        <v>1</v>
      </c>
      <c r="CR569" s="4" t="s">
        <v>1</v>
      </c>
      <c r="CS569" s="4" t="s">
        <v>1</v>
      </c>
      <c r="CT569" s="4" t="s">
        <v>1</v>
      </c>
      <c r="CU569" s="4" t="s">
        <v>1</v>
      </c>
      <c r="CV569" t="s">
        <v>1068</v>
      </c>
      <c r="CW569">
        <v>100</v>
      </c>
      <c r="CX569">
        <v>0</v>
      </c>
      <c r="CY569">
        <v>30</v>
      </c>
      <c r="CZ569" s="26" t="s">
        <v>1358</v>
      </c>
      <c r="DA569" t="s">
        <v>734</v>
      </c>
      <c r="DB569">
        <v>20</v>
      </c>
      <c r="DC569">
        <v>0</v>
      </c>
      <c r="DD569">
        <v>30</v>
      </c>
      <c r="DE569" s="26" t="s">
        <v>1358</v>
      </c>
      <c r="DF569" t="s">
        <v>735</v>
      </c>
      <c r="DG569">
        <v>58</v>
      </c>
      <c r="DH569">
        <v>0</v>
      </c>
      <c r="DI569">
        <v>30</v>
      </c>
      <c r="DJ569" s="26" t="s">
        <v>1358</v>
      </c>
      <c r="DK569" t="s">
        <v>736</v>
      </c>
      <c r="DL569">
        <v>22</v>
      </c>
      <c r="DM569">
        <v>0</v>
      </c>
      <c r="DN569">
        <v>30</v>
      </c>
      <c r="DO569" s="26" t="s">
        <v>1358</v>
      </c>
      <c r="DP569" t="s">
        <v>6</v>
      </c>
      <c r="DQ569" t="s">
        <v>1</v>
      </c>
      <c r="DR569">
        <v>7.8</v>
      </c>
      <c r="DS569">
        <v>0</v>
      </c>
      <c r="DT569">
        <v>30</v>
      </c>
      <c r="DU569" s="26" t="s">
        <v>1358</v>
      </c>
      <c r="EA569" t="s">
        <v>982</v>
      </c>
      <c r="EB569">
        <v>10</v>
      </c>
      <c r="EC569">
        <v>0</v>
      </c>
      <c r="ED569">
        <v>30</v>
      </c>
      <c r="EE569" s="26" t="s">
        <v>1358</v>
      </c>
      <c r="EF569" s="26"/>
      <c r="FZ569" t="s">
        <v>806</v>
      </c>
      <c r="GA569">
        <v>696</v>
      </c>
      <c r="GE569" s="26" t="s">
        <v>1358</v>
      </c>
      <c r="HA569" s="5" t="s">
        <v>1069</v>
      </c>
      <c r="HB569" s="4">
        <v>14.4</v>
      </c>
      <c r="HC569">
        <v>0</v>
      </c>
      <c r="HD569">
        <v>30</v>
      </c>
      <c r="HE569" s="26" t="s">
        <v>1358</v>
      </c>
      <c r="HF569" s="5" t="s">
        <v>1063</v>
      </c>
      <c r="HG569" s="4">
        <v>1</v>
      </c>
      <c r="HH569">
        <v>0</v>
      </c>
      <c r="HI569">
        <v>30</v>
      </c>
      <c r="HJ569" s="26" t="s">
        <v>1358</v>
      </c>
      <c r="HK569" t="s">
        <v>1</v>
      </c>
      <c r="HL569" t="s">
        <v>1</v>
      </c>
      <c r="HM569" t="s">
        <v>1</v>
      </c>
      <c r="HN569" t="s">
        <v>1</v>
      </c>
      <c r="HO569" t="s">
        <v>1</v>
      </c>
      <c r="HP569" t="s">
        <v>1</v>
      </c>
      <c r="HZ569" t="s">
        <v>966</v>
      </c>
      <c r="IA569">
        <v>48</v>
      </c>
      <c r="IB569" s="5" t="s">
        <v>1</v>
      </c>
      <c r="IC569" s="5"/>
      <c r="ID569" s="5"/>
      <c r="IE569" s="10" t="s">
        <v>1</v>
      </c>
      <c r="IF569" s="10" t="s">
        <v>1</v>
      </c>
      <c r="IG569" s="10"/>
      <c r="IH569" s="10"/>
      <c r="II569" s="10"/>
      <c r="IJ569" s="10"/>
      <c r="IK569" s="10"/>
      <c r="IL569" s="10"/>
      <c r="IM569" s="10"/>
      <c r="IN569" s="10"/>
      <c r="IO569" s="10"/>
      <c r="IP569" s="10"/>
      <c r="IQ569" s="10"/>
      <c r="IR569" s="10"/>
      <c r="IS569" t="s">
        <v>1</v>
      </c>
      <c r="IT569" t="s">
        <v>1</v>
      </c>
      <c r="IW569" t="s">
        <v>1</v>
      </c>
      <c r="IX569" t="s">
        <v>1</v>
      </c>
      <c r="IY569" t="s">
        <v>1</v>
      </c>
      <c r="IZ569" t="s">
        <v>1</v>
      </c>
      <c r="JA569" t="s">
        <v>1</v>
      </c>
      <c r="JB569" s="3" t="s">
        <v>1</v>
      </c>
      <c r="JC569" t="s">
        <v>1</v>
      </c>
      <c r="JD569" s="4" t="s">
        <v>1</v>
      </c>
      <c r="JE569" t="s">
        <v>1</v>
      </c>
      <c r="JF569" t="s">
        <v>1</v>
      </c>
      <c r="JR569" t="s">
        <v>1066</v>
      </c>
      <c r="JS569">
        <v>52.6</v>
      </c>
      <c r="JU569" t="s">
        <v>1</v>
      </c>
      <c r="JW569" t="s">
        <v>1</v>
      </c>
      <c r="JX569">
        <v>0</v>
      </c>
      <c r="JY569">
        <v>75</v>
      </c>
      <c r="JZ569" t="s">
        <v>797</v>
      </c>
      <c r="KA569" t="s">
        <v>664</v>
      </c>
      <c r="KB569" t="s">
        <v>738</v>
      </c>
      <c r="KC569" t="s">
        <v>1</v>
      </c>
      <c r="KD569" t="s">
        <v>1</v>
      </c>
      <c r="KE569" t="s">
        <v>1</v>
      </c>
      <c r="KF569" t="s">
        <v>1</v>
      </c>
      <c r="KG569" t="s">
        <v>1</v>
      </c>
      <c r="KH569" t="s">
        <v>1</v>
      </c>
      <c r="KI569" t="s">
        <v>1</v>
      </c>
      <c r="KJ569" t="s">
        <v>1</v>
      </c>
      <c r="KK569" t="s">
        <v>1</v>
      </c>
    </row>
    <row r="570" spans="1:297" x14ac:dyDescent="0.2">
      <c r="A570">
        <v>538</v>
      </c>
      <c r="B570" t="s">
        <v>705</v>
      </c>
      <c r="C570" t="s">
        <v>666</v>
      </c>
      <c r="D570" t="s">
        <v>662</v>
      </c>
      <c r="E570">
        <v>89</v>
      </c>
      <c r="F570" t="s">
        <v>1341</v>
      </c>
      <c r="G570" t="s">
        <v>1</v>
      </c>
      <c r="H570" s="26" t="s">
        <v>1420</v>
      </c>
      <c r="I570" t="s">
        <v>1</v>
      </c>
      <c r="J570" t="s">
        <v>1</v>
      </c>
      <c r="K570" t="s">
        <v>1</v>
      </c>
      <c r="L570" t="s">
        <v>1</v>
      </c>
      <c r="M570" t="s">
        <v>1</v>
      </c>
      <c r="N570" t="s">
        <v>1</v>
      </c>
      <c r="O570" t="s">
        <v>1</v>
      </c>
      <c r="P570" t="s">
        <v>1</v>
      </c>
      <c r="Q570" t="s">
        <v>1</v>
      </c>
      <c r="R570" t="s">
        <v>1</v>
      </c>
      <c r="S570" t="s">
        <v>1</v>
      </c>
      <c r="T570" t="s">
        <v>1</v>
      </c>
      <c r="U570" t="s">
        <v>1</v>
      </c>
      <c r="V570" t="s">
        <v>1</v>
      </c>
      <c r="W570" t="s">
        <v>1</v>
      </c>
      <c r="X570" t="s">
        <v>1</v>
      </c>
      <c r="Y570" t="s">
        <v>1</v>
      </c>
      <c r="Z570" t="s">
        <v>1</v>
      </c>
      <c r="AA570" t="s">
        <v>1</v>
      </c>
      <c r="AB570" t="s">
        <v>1</v>
      </c>
      <c r="AC570" t="s">
        <v>1</v>
      </c>
      <c r="AD570" t="s">
        <v>1</v>
      </c>
      <c r="AE570" t="s">
        <v>1</v>
      </c>
      <c r="AF570" t="s">
        <v>1</v>
      </c>
      <c r="AG570" t="s">
        <v>1</v>
      </c>
      <c r="AH570" t="s">
        <v>1</v>
      </c>
      <c r="AI570" t="s">
        <v>1</v>
      </c>
      <c r="AJ570" t="s">
        <v>1</v>
      </c>
      <c r="AK570" t="s">
        <v>1</v>
      </c>
      <c r="AL570" t="s">
        <v>1</v>
      </c>
      <c r="AM570" t="s">
        <v>1</v>
      </c>
      <c r="AN570">
        <v>538</v>
      </c>
      <c r="AO570">
        <f t="shared" si="69"/>
        <v>538</v>
      </c>
      <c r="AP570">
        <f t="shared" si="72"/>
        <v>89</v>
      </c>
      <c r="AQ570">
        <f t="shared" si="73"/>
        <v>89</v>
      </c>
      <c r="AR570" s="26" t="s">
        <v>1355</v>
      </c>
      <c r="AS570" s="26" t="s">
        <v>1356</v>
      </c>
      <c r="AT570" t="s">
        <v>725</v>
      </c>
      <c r="AU570" t="s">
        <v>1</v>
      </c>
      <c r="AV570" t="s">
        <v>1</v>
      </c>
      <c r="AW570">
        <v>51.82</v>
      </c>
      <c r="AX570">
        <v>-0.35</v>
      </c>
      <c r="AY570" t="s">
        <v>737</v>
      </c>
      <c r="BA570" s="3">
        <v>4</v>
      </c>
      <c r="BB570" s="3"/>
      <c r="BC570" s="3"/>
      <c r="BD570" s="3"/>
      <c r="BE570" s="3"/>
      <c r="BF570">
        <v>1998</v>
      </c>
      <c r="BG570" s="24" t="s">
        <v>733</v>
      </c>
      <c r="BH570" s="24" t="s">
        <v>733</v>
      </c>
      <c r="BI570" s="24" t="s">
        <v>733</v>
      </c>
      <c r="BJ570" s="24" t="s">
        <v>732</v>
      </c>
      <c r="BK570" s="24" t="s">
        <v>733</v>
      </c>
      <c r="BL570" s="25" t="s">
        <v>733</v>
      </c>
      <c r="BM570" s="24" t="s">
        <v>733</v>
      </c>
      <c r="BN570" s="24" t="s">
        <v>732</v>
      </c>
      <c r="BO570" s="24" t="s">
        <v>733</v>
      </c>
      <c r="BP570" s="24" t="s">
        <v>733</v>
      </c>
      <c r="BQ570" s="24" t="s">
        <v>945</v>
      </c>
      <c r="BR570" s="24" t="s">
        <v>945</v>
      </c>
      <c r="BS570" s="25" t="s">
        <v>934</v>
      </c>
      <c r="BT570" s="24" t="s">
        <v>934</v>
      </c>
      <c r="BU570" s="24" t="s">
        <v>934</v>
      </c>
      <c r="BV570" s="24" t="s">
        <v>934</v>
      </c>
      <c r="BW570" s="24" t="s">
        <v>934</v>
      </c>
      <c r="BX570" s="24" t="s">
        <v>934</v>
      </c>
      <c r="BY570" s="25" t="s">
        <v>945</v>
      </c>
      <c r="BZ570" t="s">
        <v>62</v>
      </c>
      <c r="CB570" t="s">
        <v>63</v>
      </c>
      <c r="CC570" s="4">
        <v>5160.0000000000009</v>
      </c>
      <c r="CD570" s="4"/>
      <c r="CE570" s="4"/>
      <c r="CF570" t="s">
        <v>793</v>
      </c>
      <c r="CG570">
        <v>100</v>
      </c>
      <c r="CH570" t="s">
        <v>805</v>
      </c>
      <c r="CI570" s="28">
        <v>1.7</v>
      </c>
      <c r="CJ570" s="10" t="s">
        <v>1442</v>
      </c>
      <c r="CK570" s="9" t="s">
        <v>1</v>
      </c>
      <c r="CL570" s="4" t="s">
        <v>1</v>
      </c>
      <c r="CM570" t="s">
        <v>848</v>
      </c>
      <c r="CN570" s="15">
        <v>79.3</v>
      </c>
      <c r="CO570" s="4" t="s">
        <v>1</v>
      </c>
      <c r="CP570" s="4" t="s">
        <v>1</v>
      </c>
      <c r="CQ570" s="4" t="s">
        <v>1</v>
      </c>
      <c r="CR570" s="4" t="s">
        <v>1</v>
      </c>
      <c r="CS570" s="4" t="s">
        <v>1</v>
      </c>
      <c r="CT570" s="4" t="s">
        <v>1</v>
      </c>
      <c r="CU570" s="4" t="s">
        <v>1</v>
      </c>
      <c r="CV570" t="s">
        <v>1068</v>
      </c>
      <c r="CW570">
        <v>100</v>
      </c>
      <c r="CX570">
        <v>0</v>
      </c>
      <c r="CY570">
        <v>30</v>
      </c>
      <c r="CZ570" s="26" t="s">
        <v>1358</v>
      </c>
      <c r="DA570" t="s">
        <v>734</v>
      </c>
      <c r="DB570">
        <v>20</v>
      </c>
      <c r="DC570">
        <v>0</v>
      </c>
      <c r="DD570">
        <v>30</v>
      </c>
      <c r="DE570" s="26" t="s">
        <v>1358</v>
      </c>
      <c r="DF570" t="s">
        <v>735</v>
      </c>
      <c r="DG570">
        <v>58</v>
      </c>
      <c r="DH570">
        <v>0</v>
      </c>
      <c r="DI570">
        <v>30</v>
      </c>
      <c r="DJ570" s="26" t="s">
        <v>1358</v>
      </c>
      <c r="DK570" t="s">
        <v>736</v>
      </c>
      <c r="DL570">
        <v>22</v>
      </c>
      <c r="DM570">
        <v>0</v>
      </c>
      <c r="DN570">
        <v>30</v>
      </c>
      <c r="DO570" s="26" t="s">
        <v>1358</v>
      </c>
      <c r="DP570" t="s">
        <v>6</v>
      </c>
      <c r="DQ570" t="s">
        <v>1</v>
      </c>
      <c r="DR570">
        <v>7.8</v>
      </c>
      <c r="DS570">
        <v>0</v>
      </c>
      <c r="DT570">
        <v>30</v>
      </c>
      <c r="DU570" s="26" t="s">
        <v>1358</v>
      </c>
      <c r="EA570" t="s">
        <v>982</v>
      </c>
      <c r="EB570">
        <v>10</v>
      </c>
      <c r="EC570">
        <v>0</v>
      </c>
      <c r="ED570">
        <v>30</v>
      </c>
      <c r="EE570" s="26" t="s">
        <v>1358</v>
      </c>
      <c r="EF570" s="26"/>
      <c r="FZ570" t="s">
        <v>806</v>
      </c>
      <c r="GA570">
        <v>696</v>
      </c>
      <c r="GE570" s="26" t="s">
        <v>1358</v>
      </c>
      <c r="HA570" s="5" t="s">
        <v>1069</v>
      </c>
      <c r="HB570" s="4">
        <v>14.4</v>
      </c>
      <c r="HC570">
        <v>0</v>
      </c>
      <c r="HD570">
        <v>30</v>
      </c>
      <c r="HE570" s="26" t="s">
        <v>1358</v>
      </c>
      <c r="HF570" s="5" t="s">
        <v>1063</v>
      </c>
      <c r="HG570" s="4">
        <v>1</v>
      </c>
      <c r="HH570">
        <v>0</v>
      </c>
      <c r="HI570">
        <v>30</v>
      </c>
      <c r="HJ570" s="26" t="s">
        <v>1358</v>
      </c>
      <c r="HK570" t="s">
        <v>1</v>
      </c>
      <c r="HL570" t="s">
        <v>1</v>
      </c>
      <c r="HM570" t="s">
        <v>1</v>
      </c>
      <c r="HN570" t="s">
        <v>1</v>
      </c>
      <c r="HO570" t="s">
        <v>1</v>
      </c>
      <c r="HP570" t="s">
        <v>1</v>
      </c>
      <c r="HZ570" t="s">
        <v>966</v>
      </c>
      <c r="IA570">
        <v>96</v>
      </c>
      <c r="IB570" s="5" t="s">
        <v>1</v>
      </c>
      <c r="IC570" s="5"/>
      <c r="ID570" s="5"/>
      <c r="IE570" s="10" t="s">
        <v>1</v>
      </c>
      <c r="IF570" s="10" t="s">
        <v>1</v>
      </c>
      <c r="IG570" s="10"/>
      <c r="IH570" s="10"/>
      <c r="II570" s="10"/>
      <c r="IJ570" s="10"/>
      <c r="IK570" s="10"/>
      <c r="IL570" s="10"/>
      <c r="IM570" s="10"/>
      <c r="IN570" s="10"/>
      <c r="IO570" s="10"/>
      <c r="IP570" s="10"/>
      <c r="IQ570" s="10"/>
      <c r="IR570" s="10"/>
      <c r="IS570" t="s">
        <v>1</v>
      </c>
      <c r="IT570" t="s">
        <v>1</v>
      </c>
      <c r="IW570" t="s">
        <v>1</v>
      </c>
      <c r="IX570" t="s">
        <v>1</v>
      </c>
      <c r="IY570" t="s">
        <v>1</v>
      </c>
      <c r="IZ570" t="s">
        <v>1</v>
      </c>
      <c r="JA570" t="s">
        <v>1</v>
      </c>
      <c r="JB570" s="3" t="s">
        <v>1</v>
      </c>
      <c r="JC570" t="s">
        <v>1</v>
      </c>
      <c r="JD570" s="4" t="s">
        <v>1</v>
      </c>
      <c r="JE570" t="s">
        <v>1</v>
      </c>
      <c r="JF570" t="s">
        <v>1</v>
      </c>
      <c r="JR570" t="s">
        <v>1066</v>
      </c>
      <c r="JS570">
        <v>66.400000000000006</v>
      </c>
      <c r="JU570" t="s">
        <v>1</v>
      </c>
      <c r="JW570" t="s">
        <v>1</v>
      </c>
      <c r="JX570">
        <v>0</v>
      </c>
      <c r="JY570">
        <v>75</v>
      </c>
      <c r="JZ570" t="s">
        <v>797</v>
      </c>
      <c r="KA570" t="s">
        <v>664</v>
      </c>
      <c r="KB570" t="s">
        <v>738</v>
      </c>
      <c r="KC570" t="s">
        <v>1</v>
      </c>
      <c r="KD570" t="s">
        <v>1</v>
      </c>
      <c r="KE570" t="s">
        <v>1</v>
      </c>
      <c r="KF570" t="s">
        <v>1</v>
      </c>
      <c r="KG570" t="s">
        <v>1</v>
      </c>
      <c r="KH570" t="s">
        <v>1</v>
      </c>
      <c r="KI570" t="s">
        <v>1</v>
      </c>
      <c r="KJ570" t="s">
        <v>1</v>
      </c>
      <c r="KK570" t="s">
        <v>1</v>
      </c>
    </row>
    <row r="571" spans="1:297" x14ac:dyDescent="0.2">
      <c r="A571">
        <v>539</v>
      </c>
      <c r="B571" t="s">
        <v>705</v>
      </c>
      <c r="C571" t="s">
        <v>667</v>
      </c>
      <c r="D571" t="s">
        <v>662</v>
      </c>
      <c r="E571">
        <v>89</v>
      </c>
      <c r="F571" t="s">
        <v>1341</v>
      </c>
      <c r="G571" t="s">
        <v>1</v>
      </c>
      <c r="H571" s="26" t="s">
        <v>1420</v>
      </c>
      <c r="I571" t="s">
        <v>1</v>
      </c>
      <c r="J571" t="s">
        <v>1</v>
      </c>
      <c r="K571" t="s">
        <v>1</v>
      </c>
      <c r="L571" t="s">
        <v>1</v>
      </c>
      <c r="M571" t="s">
        <v>1</v>
      </c>
      <c r="N571" t="s">
        <v>1</v>
      </c>
      <c r="O571" t="s">
        <v>1</v>
      </c>
      <c r="P571" t="s">
        <v>1</v>
      </c>
      <c r="Q571" t="s">
        <v>1</v>
      </c>
      <c r="R571" t="s">
        <v>1</v>
      </c>
      <c r="S571" t="s">
        <v>1</v>
      </c>
      <c r="T571" t="s">
        <v>1</v>
      </c>
      <c r="U571" t="s">
        <v>1</v>
      </c>
      <c r="V571" t="s">
        <v>1</v>
      </c>
      <c r="W571" t="s">
        <v>1</v>
      </c>
      <c r="X571" t="s">
        <v>1</v>
      </c>
      <c r="Y571" t="s">
        <v>1</v>
      </c>
      <c r="Z571" t="s">
        <v>1</v>
      </c>
      <c r="AA571" t="s">
        <v>1</v>
      </c>
      <c r="AB571" t="s">
        <v>1</v>
      </c>
      <c r="AC571" t="s">
        <v>1</v>
      </c>
      <c r="AD571" t="s">
        <v>1</v>
      </c>
      <c r="AE571" t="s">
        <v>1</v>
      </c>
      <c r="AF571" t="s">
        <v>1</v>
      </c>
      <c r="AG571" t="s">
        <v>1</v>
      </c>
      <c r="AH571" t="s">
        <v>1</v>
      </c>
      <c r="AI571" t="s">
        <v>1</v>
      </c>
      <c r="AJ571" t="s">
        <v>1</v>
      </c>
      <c r="AK571" t="s">
        <v>1</v>
      </c>
      <c r="AL571" t="s">
        <v>1</v>
      </c>
      <c r="AM571" t="s">
        <v>1</v>
      </c>
      <c r="AN571">
        <v>539</v>
      </c>
      <c r="AO571">
        <f t="shared" si="69"/>
        <v>539</v>
      </c>
      <c r="AP571">
        <f t="shared" si="72"/>
        <v>89</v>
      </c>
      <c r="AQ571">
        <f t="shared" si="73"/>
        <v>89</v>
      </c>
      <c r="AR571" s="26" t="s">
        <v>1355</v>
      </c>
      <c r="AS571" s="26" t="s">
        <v>1356</v>
      </c>
      <c r="AT571" t="s">
        <v>725</v>
      </c>
      <c r="AU571" t="s">
        <v>1</v>
      </c>
      <c r="AV571" t="s">
        <v>1</v>
      </c>
      <c r="AW571">
        <v>51.82</v>
      </c>
      <c r="AX571">
        <v>-0.35</v>
      </c>
      <c r="AY571" t="s">
        <v>737</v>
      </c>
      <c r="BA571" s="3">
        <v>4</v>
      </c>
      <c r="BB571" s="3"/>
      <c r="BC571" s="3"/>
      <c r="BD571" s="3"/>
      <c r="BE571" s="3"/>
      <c r="BF571">
        <v>1998</v>
      </c>
      <c r="BG571" s="24" t="s">
        <v>733</v>
      </c>
      <c r="BH571" s="24" t="s">
        <v>733</v>
      </c>
      <c r="BI571" s="24" t="s">
        <v>733</v>
      </c>
      <c r="BJ571" s="24" t="s">
        <v>732</v>
      </c>
      <c r="BK571" s="24" t="s">
        <v>733</v>
      </c>
      <c r="BL571" s="25" t="s">
        <v>733</v>
      </c>
      <c r="BM571" s="24" t="s">
        <v>733</v>
      </c>
      <c r="BN571" s="24" t="s">
        <v>732</v>
      </c>
      <c r="BO571" s="24" t="s">
        <v>733</v>
      </c>
      <c r="BP571" s="24" t="s">
        <v>733</v>
      </c>
      <c r="BQ571" s="24" t="s">
        <v>945</v>
      </c>
      <c r="BR571" s="24" t="s">
        <v>945</v>
      </c>
      <c r="BS571" s="25" t="s">
        <v>934</v>
      </c>
      <c r="BT571" s="24" t="s">
        <v>934</v>
      </c>
      <c r="BU571" s="24" t="s">
        <v>934</v>
      </c>
      <c r="BV571" s="24" t="s">
        <v>934</v>
      </c>
      <c r="BW571" s="24" t="s">
        <v>934</v>
      </c>
      <c r="BX571" s="24" t="s">
        <v>934</v>
      </c>
      <c r="BY571" s="25" t="s">
        <v>945</v>
      </c>
      <c r="BZ571" t="s">
        <v>62</v>
      </c>
      <c r="CB571" t="s">
        <v>63</v>
      </c>
      <c r="CC571" s="4">
        <v>6321.25</v>
      </c>
      <c r="CD571" s="4"/>
      <c r="CE571" s="4"/>
      <c r="CF571" t="s">
        <v>793</v>
      </c>
      <c r="CG571">
        <v>100</v>
      </c>
      <c r="CH571" t="s">
        <v>805</v>
      </c>
      <c r="CI571" s="28">
        <v>1.7</v>
      </c>
      <c r="CJ571" s="10" t="s">
        <v>1442</v>
      </c>
      <c r="CK571" s="9" t="s">
        <v>1</v>
      </c>
      <c r="CL571" s="4" t="s">
        <v>1</v>
      </c>
      <c r="CM571" t="s">
        <v>848</v>
      </c>
      <c r="CN571" s="15">
        <v>108.9</v>
      </c>
      <c r="CO571" s="4" t="s">
        <v>1</v>
      </c>
      <c r="CP571" s="4" t="s">
        <v>1</v>
      </c>
      <c r="CQ571" s="4" t="s">
        <v>1</v>
      </c>
      <c r="CR571" s="4" t="s">
        <v>1</v>
      </c>
      <c r="CS571" s="4" t="s">
        <v>1</v>
      </c>
      <c r="CT571" s="4" t="s">
        <v>1</v>
      </c>
      <c r="CU571" s="4" t="s">
        <v>1</v>
      </c>
      <c r="CV571" t="s">
        <v>1068</v>
      </c>
      <c r="CW571">
        <v>100</v>
      </c>
      <c r="CX571">
        <v>0</v>
      </c>
      <c r="CY571">
        <v>30</v>
      </c>
      <c r="CZ571" s="26" t="s">
        <v>1358</v>
      </c>
      <c r="DA571" t="s">
        <v>734</v>
      </c>
      <c r="DB571">
        <v>20</v>
      </c>
      <c r="DC571">
        <v>0</v>
      </c>
      <c r="DD571">
        <v>30</v>
      </c>
      <c r="DE571" s="26" t="s">
        <v>1358</v>
      </c>
      <c r="DF571" t="s">
        <v>735</v>
      </c>
      <c r="DG571">
        <v>58</v>
      </c>
      <c r="DH571">
        <v>0</v>
      </c>
      <c r="DI571">
        <v>30</v>
      </c>
      <c r="DJ571" s="26" t="s">
        <v>1358</v>
      </c>
      <c r="DK571" t="s">
        <v>736</v>
      </c>
      <c r="DL571">
        <v>22</v>
      </c>
      <c r="DM571">
        <v>0</v>
      </c>
      <c r="DN571">
        <v>30</v>
      </c>
      <c r="DO571" s="26" t="s">
        <v>1358</v>
      </c>
      <c r="DP571" t="s">
        <v>6</v>
      </c>
      <c r="DQ571" t="s">
        <v>1</v>
      </c>
      <c r="DR571">
        <v>7.8</v>
      </c>
      <c r="DS571">
        <v>0</v>
      </c>
      <c r="DT571">
        <v>30</v>
      </c>
      <c r="DU571" s="26" t="s">
        <v>1358</v>
      </c>
      <c r="EA571" t="s">
        <v>982</v>
      </c>
      <c r="EB571">
        <v>10</v>
      </c>
      <c r="EC571">
        <v>0</v>
      </c>
      <c r="ED571">
        <v>30</v>
      </c>
      <c r="EE571" s="26" t="s">
        <v>1358</v>
      </c>
      <c r="EF571" s="26"/>
      <c r="FZ571" t="s">
        <v>806</v>
      </c>
      <c r="GA571">
        <v>696</v>
      </c>
      <c r="GE571" s="26" t="s">
        <v>1358</v>
      </c>
      <c r="HA571" s="5" t="s">
        <v>1069</v>
      </c>
      <c r="HB571" s="4">
        <v>14.4</v>
      </c>
      <c r="HC571">
        <v>0</v>
      </c>
      <c r="HD571">
        <v>30</v>
      </c>
      <c r="HE571" s="26" t="s">
        <v>1358</v>
      </c>
      <c r="HF571" s="5" t="s">
        <v>1063</v>
      </c>
      <c r="HG571" s="4">
        <v>1</v>
      </c>
      <c r="HH571">
        <v>0</v>
      </c>
      <c r="HI571">
        <v>30</v>
      </c>
      <c r="HJ571" s="26" t="s">
        <v>1358</v>
      </c>
      <c r="HK571" t="s">
        <v>1</v>
      </c>
      <c r="HL571" t="s">
        <v>1</v>
      </c>
      <c r="HM571" t="s">
        <v>1</v>
      </c>
      <c r="HN571" t="s">
        <v>1</v>
      </c>
      <c r="HO571" t="s">
        <v>1</v>
      </c>
      <c r="HP571" t="s">
        <v>1</v>
      </c>
      <c r="HZ571" t="s">
        <v>966</v>
      </c>
      <c r="IA571">
        <v>114</v>
      </c>
      <c r="IB571" s="5" t="s">
        <v>1</v>
      </c>
      <c r="IC571" s="5"/>
      <c r="ID571" s="5"/>
      <c r="IE571" s="10" t="s">
        <v>1</v>
      </c>
      <c r="IF571" s="10" t="s">
        <v>1</v>
      </c>
      <c r="IG571" s="10"/>
      <c r="IH571" s="10"/>
      <c r="II571" s="10"/>
      <c r="IJ571" s="10"/>
      <c r="IK571" s="10"/>
      <c r="IL571" s="10"/>
      <c r="IM571" s="10"/>
      <c r="IN571" s="10"/>
      <c r="IO571" s="10"/>
      <c r="IP571" s="10"/>
      <c r="IQ571" s="10"/>
      <c r="IR571" s="10"/>
      <c r="IS571" t="s">
        <v>1</v>
      </c>
      <c r="IT571" t="s">
        <v>1</v>
      </c>
      <c r="IW571" t="s">
        <v>1</v>
      </c>
      <c r="IX571" t="s">
        <v>1</v>
      </c>
      <c r="IY571" t="s">
        <v>1</v>
      </c>
      <c r="IZ571" t="s">
        <v>1</v>
      </c>
      <c r="JA571" t="s">
        <v>1</v>
      </c>
      <c r="JB571" s="3" t="s">
        <v>1</v>
      </c>
      <c r="JC571" t="s">
        <v>1</v>
      </c>
      <c r="JD571" s="4" t="s">
        <v>1</v>
      </c>
      <c r="JE571" t="s">
        <v>1</v>
      </c>
      <c r="JF571" t="s">
        <v>1</v>
      </c>
      <c r="JR571" t="s">
        <v>1066</v>
      </c>
      <c r="JS571">
        <v>97.4</v>
      </c>
      <c r="JU571" t="s">
        <v>1</v>
      </c>
      <c r="JW571" t="s">
        <v>1</v>
      </c>
      <c r="JX571">
        <v>0</v>
      </c>
      <c r="JY571">
        <v>75</v>
      </c>
      <c r="JZ571" t="s">
        <v>797</v>
      </c>
      <c r="KA571" t="s">
        <v>664</v>
      </c>
      <c r="KB571" t="s">
        <v>738</v>
      </c>
      <c r="KC571" t="s">
        <v>1</v>
      </c>
      <c r="KD571" t="s">
        <v>1</v>
      </c>
      <c r="KE571" t="s">
        <v>1</v>
      </c>
      <c r="KF571" t="s">
        <v>1</v>
      </c>
      <c r="KG571" t="s">
        <v>1</v>
      </c>
      <c r="KH571" t="s">
        <v>1</v>
      </c>
      <c r="KI571" t="s">
        <v>1</v>
      </c>
      <c r="KJ571" t="s">
        <v>1</v>
      </c>
      <c r="KK571" t="s">
        <v>1</v>
      </c>
    </row>
    <row r="572" spans="1:297" x14ac:dyDescent="0.2">
      <c r="A572">
        <v>540</v>
      </c>
      <c r="B572" t="s">
        <v>705</v>
      </c>
      <c r="C572" t="s">
        <v>668</v>
      </c>
      <c r="D572" t="s">
        <v>662</v>
      </c>
      <c r="E572">
        <v>89</v>
      </c>
      <c r="F572" t="s">
        <v>1341</v>
      </c>
      <c r="G572" t="s">
        <v>1</v>
      </c>
      <c r="H572" s="26" t="s">
        <v>1420</v>
      </c>
      <c r="I572" t="s">
        <v>1</v>
      </c>
      <c r="J572" t="s">
        <v>1</v>
      </c>
      <c r="K572" t="s">
        <v>1</v>
      </c>
      <c r="L572" t="s">
        <v>1</v>
      </c>
      <c r="M572" t="s">
        <v>1</v>
      </c>
      <c r="N572" t="s">
        <v>1</v>
      </c>
      <c r="O572" t="s">
        <v>1</v>
      </c>
      <c r="P572" t="s">
        <v>1</v>
      </c>
      <c r="Q572" t="s">
        <v>1</v>
      </c>
      <c r="R572" t="s">
        <v>1</v>
      </c>
      <c r="S572" t="s">
        <v>1</v>
      </c>
      <c r="T572" t="s">
        <v>1</v>
      </c>
      <c r="U572" t="s">
        <v>1</v>
      </c>
      <c r="V572" t="s">
        <v>1</v>
      </c>
      <c r="W572" t="s">
        <v>1</v>
      </c>
      <c r="X572" t="s">
        <v>1</v>
      </c>
      <c r="Y572" t="s">
        <v>1</v>
      </c>
      <c r="Z572" t="s">
        <v>1</v>
      </c>
      <c r="AA572" t="s">
        <v>1</v>
      </c>
      <c r="AB572" t="s">
        <v>1</v>
      </c>
      <c r="AC572" t="s">
        <v>1</v>
      </c>
      <c r="AD572" t="s">
        <v>1</v>
      </c>
      <c r="AE572" t="s">
        <v>1</v>
      </c>
      <c r="AF572" t="s">
        <v>1</v>
      </c>
      <c r="AG572" t="s">
        <v>1</v>
      </c>
      <c r="AH572" t="s">
        <v>1</v>
      </c>
      <c r="AI572" t="s">
        <v>1</v>
      </c>
      <c r="AJ572" t="s">
        <v>1</v>
      </c>
      <c r="AK572" t="s">
        <v>1</v>
      </c>
      <c r="AL572" t="s">
        <v>1</v>
      </c>
      <c r="AM572" t="s">
        <v>1</v>
      </c>
      <c r="AN572">
        <v>540</v>
      </c>
      <c r="AO572">
        <f t="shared" ref="AO572:AO591" si="74">AN572</f>
        <v>540</v>
      </c>
      <c r="AP572">
        <f t="shared" si="72"/>
        <v>89</v>
      </c>
      <c r="AQ572">
        <f t="shared" si="73"/>
        <v>89</v>
      </c>
      <c r="AR572" s="26" t="s">
        <v>1355</v>
      </c>
      <c r="AS572" s="26" t="s">
        <v>1356</v>
      </c>
      <c r="AT572" t="s">
        <v>725</v>
      </c>
      <c r="AU572" t="s">
        <v>1</v>
      </c>
      <c r="AV572" t="s">
        <v>1</v>
      </c>
      <c r="AW572">
        <v>51.82</v>
      </c>
      <c r="AX572">
        <v>-0.35</v>
      </c>
      <c r="AY572" t="s">
        <v>737</v>
      </c>
      <c r="BA572" s="3">
        <v>4</v>
      </c>
      <c r="BB572" s="3"/>
      <c r="BC572" s="3"/>
      <c r="BD572" s="3"/>
      <c r="BE572" s="3"/>
      <c r="BF572">
        <v>1998</v>
      </c>
      <c r="BG572" s="24" t="s">
        <v>733</v>
      </c>
      <c r="BH572" s="24" t="s">
        <v>733</v>
      </c>
      <c r="BI572" s="24" t="s">
        <v>733</v>
      </c>
      <c r="BJ572" s="24" t="s">
        <v>732</v>
      </c>
      <c r="BK572" s="24" t="s">
        <v>733</v>
      </c>
      <c r="BL572" s="25" t="s">
        <v>733</v>
      </c>
      <c r="BM572" s="24" t="s">
        <v>733</v>
      </c>
      <c r="BN572" s="24" t="s">
        <v>732</v>
      </c>
      <c r="BO572" s="24" t="s">
        <v>733</v>
      </c>
      <c r="BP572" s="24" t="s">
        <v>733</v>
      </c>
      <c r="BQ572" s="24" t="s">
        <v>945</v>
      </c>
      <c r="BR572" s="24" t="s">
        <v>945</v>
      </c>
      <c r="BS572" s="25" t="s">
        <v>934</v>
      </c>
      <c r="BT572" s="24" t="s">
        <v>934</v>
      </c>
      <c r="BU572" s="24" t="s">
        <v>934</v>
      </c>
      <c r="BV572" s="24" t="s">
        <v>934</v>
      </c>
      <c r="BW572" s="24" t="s">
        <v>934</v>
      </c>
      <c r="BX572" s="24" t="s">
        <v>934</v>
      </c>
      <c r="BY572" s="25" t="s">
        <v>945</v>
      </c>
      <c r="BZ572" t="s">
        <v>62</v>
      </c>
      <c r="CB572" t="s">
        <v>63</v>
      </c>
      <c r="CC572" s="4">
        <v>7287.5</v>
      </c>
      <c r="CD572" s="4"/>
      <c r="CE572" s="4"/>
      <c r="CF572" t="s">
        <v>793</v>
      </c>
      <c r="CG572">
        <v>100</v>
      </c>
      <c r="CH572" t="s">
        <v>805</v>
      </c>
      <c r="CI572" s="28">
        <v>1.7</v>
      </c>
      <c r="CJ572" s="10" t="s">
        <v>1442</v>
      </c>
      <c r="CK572" s="9" t="s">
        <v>1</v>
      </c>
      <c r="CL572" s="4" t="s">
        <v>1</v>
      </c>
      <c r="CM572" t="s">
        <v>848</v>
      </c>
      <c r="CN572" s="15">
        <v>148.80000000000001</v>
      </c>
      <c r="CO572" s="4" t="s">
        <v>1</v>
      </c>
      <c r="CP572" s="4" t="s">
        <v>1</v>
      </c>
      <c r="CQ572" s="4" t="s">
        <v>1</v>
      </c>
      <c r="CR572" s="4" t="s">
        <v>1</v>
      </c>
      <c r="CS572" s="4" t="s">
        <v>1</v>
      </c>
      <c r="CT572" s="4" t="s">
        <v>1</v>
      </c>
      <c r="CU572" s="4" t="s">
        <v>1</v>
      </c>
      <c r="CV572" t="s">
        <v>1068</v>
      </c>
      <c r="CW572">
        <v>100</v>
      </c>
      <c r="CX572">
        <v>0</v>
      </c>
      <c r="CY572">
        <v>30</v>
      </c>
      <c r="CZ572" s="26" t="s">
        <v>1358</v>
      </c>
      <c r="DA572" t="s">
        <v>734</v>
      </c>
      <c r="DB572">
        <v>20</v>
      </c>
      <c r="DC572">
        <v>0</v>
      </c>
      <c r="DD572">
        <v>30</v>
      </c>
      <c r="DE572" s="26" t="s">
        <v>1358</v>
      </c>
      <c r="DF572" t="s">
        <v>735</v>
      </c>
      <c r="DG572">
        <v>58</v>
      </c>
      <c r="DH572">
        <v>0</v>
      </c>
      <c r="DI572">
        <v>30</v>
      </c>
      <c r="DJ572" s="26" t="s">
        <v>1358</v>
      </c>
      <c r="DK572" t="s">
        <v>736</v>
      </c>
      <c r="DL572">
        <v>22</v>
      </c>
      <c r="DM572">
        <v>0</v>
      </c>
      <c r="DN572">
        <v>30</v>
      </c>
      <c r="DO572" s="26" t="s">
        <v>1358</v>
      </c>
      <c r="DP572" t="s">
        <v>6</v>
      </c>
      <c r="DQ572" t="s">
        <v>1</v>
      </c>
      <c r="DR572">
        <v>7.8</v>
      </c>
      <c r="DS572">
        <v>0</v>
      </c>
      <c r="DT572">
        <v>30</v>
      </c>
      <c r="DU572" s="26" t="s">
        <v>1358</v>
      </c>
      <c r="EA572" t="s">
        <v>982</v>
      </c>
      <c r="EB572">
        <v>10</v>
      </c>
      <c r="EC572">
        <v>0</v>
      </c>
      <c r="ED572">
        <v>30</v>
      </c>
      <c r="EE572" s="26" t="s">
        <v>1358</v>
      </c>
      <c r="EF572" s="26"/>
      <c r="FZ572" t="s">
        <v>806</v>
      </c>
      <c r="GA572">
        <v>696</v>
      </c>
      <c r="GE572" s="26" t="s">
        <v>1358</v>
      </c>
      <c r="HA572" s="5" t="s">
        <v>1069</v>
      </c>
      <c r="HB572" s="4">
        <v>14.4</v>
      </c>
      <c r="HC572">
        <v>0</v>
      </c>
      <c r="HD572">
        <v>30</v>
      </c>
      <c r="HE572" s="26" t="s">
        <v>1358</v>
      </c>
      <c r="HF572" s="5" t="s">
        <v>1063</v>
      </c>
      <c r="HG572" s="4">
        <v>1</v>
      </c>
      <c r="HH572">
        <v>0</v>
      </c>
      <c r="HI572">
        <v>30</v>
      </c>
      <c r="HJ572" s="26" t="s">
        <v>1358</v>
      </c>
      <c r="HK572" t="s">
        <v>1</v>
      </c>
      <c r="HL572" t="s">
        <v>1</v>
      </c>
      <c r="HM572" t="s">
        <v>1</v>
      </c>
      <c r="HN572" t="s">
        <v>1</v>
      </c>
      <c r="HO572" t="s">
        <v>1</v>
      </c>
      <c r="HP572" t="s">
        <v>1</v>
      </c>
      <c r="HZ572" t="s">
        <v>966</v>
      </c>
      <c r="IA572">
        <v>192</v>
      </c>
      <c r="IB572" s="5" t="s">
        <v>1</v>
      </c>
      <c r="IC572" s="5"/>
      <c r="ID572" s="5"/>
      <c r="IE572" s="10" t="s">
        <v>1</v>
      </c>
      <c r="IF572" s="10" t="s">
        <v>1</v>
      </c>
      <c r="IG572" s="10"/>
      <c r="IH572" s="10"/>
      <c r="II572" s="10"/>
      <c r="IJ572" s="10"/>
      <c r="IK572" s="10"/>
      <c r="IL572" s="10"/>
      <c r="IM572" s="10"/>
      <c r="IN572" s="10"/>
      <c r="IO572" s="10"/>
      <c r="IP572" s="10"/>
      <c r="IQ572" s="10"/>
      <c r="IR572" s="10"/>
      <c r="IS572" t="s">
        <v>1</v>
      </c>
      <c r="IT572" t="s">
        <v>1</v>
      </c>
      <c r="IW572" t="s">
        <v>1</v>
      </c>
      <c r="IX572" t="s">
        <v>1</v>
      </c>
      <c r="IY572" t="s">
        <v>1</v>
      </c>
      <c r="IZ572" t="s">
        <v>1</v>
      </c>
      <c r="JA572" t="s">
        <v>1</v>
      </c>
      <c r="JB572" s="3" t="s">
        <v>1</v>
      </c>
      <c r="JC572" t="s">
        <v>1</v>
      </c>
      <c r="JD572" s="4" t="s">
        <v>1</v>
      </c>
      <c r="JE572" t="s">
        <v>1</v>
      </c>
      <c r="JF572" t="s">
        <v>1</v>
      </c>
      <c r="JR572" t="s">
        <v>1066</v>
      </c>
      <c r="JS572">
        <v>132.80000000000001</v>
      </c>
      <c r="JU572" t="s">
        <v>1</v>
      </c>
      <c r="JW572" t="s">
        <v>1</v>
      </c>
      <c r="JX572">
        <v>0</v>
      </c>
      <c r="JY572">
        <v>75</v>
      </c>
      <c r="JZ572" t="s">
        <v>797</v>
      </c>
      <c r="KA572" t="s">
        <v>664</v>
      </c>
      <c r="KB572" t="s">
        <v>738</v>
      </c>
      <c r="KC572" t="s">
        <v>1</v>
      </c>
      <c r="KD572" t="s">
        <v>1</v>
      </c>
      <c r="KE572" t="s">
        <v>1</v>
      </c>
      <c r="KF572" t="s">
        <v>1</v>
      </c>
      <c r="KG572" t="s">
        <v>1</v>
      </c>
      <c r="KH572" t="s">
        <v>1</v>
      </c>
      <c r="KI572" t="s">
        <v>1</v>
      </c>
      <c r="KJ572" t="s">
        <v>1</v>
      </c>
      <c r="KK572" t="s">
        <v>1</v>
      </c>
    </row>
    <row r="573" spans="1:297" x14ac:dyDescent="0.2">
      <c r="A573">
        <v>541</v>
      </c>
      <c r="B573" t="s">
        <v>705</v>
      </c>
      <c r="C573" t="s">
        <v>669</v>
      </c>
      <c r="D573" t="s">
        <v>662</v>
      </c>
      <c r="E573">
        <v>89</v>
      </c>
      <c r="F573" t="s">
        <v>1341</v>
      </c>
      <c r="G573" t="s">
        <v>1</v>
      </c>
      <c r="H573" s="26" t="s">
        <v>1420</v>
      </c>
      <c r="I573" t="s">
        <v>1</v>
      </c>
      <c r="J573" t="s">
        <v>1</v>
      </c>
      <c r="K573" t="s">
        <v>1</v>
      </c>
      <c r="L573" t="s">
        <v>1</v>
      </c>
      <c r="M573" t="s">
        <v>1</v>
      </c>
      <c r="N573" t="s">
        <v>1</v>
      </c>
      <c r="O573" t="s">
        <v>1</v>
      </c>
      <c r="P573" t="s">
        <v>1</v>
      </c>
      <c r="Q573" t="s">
        <v>1</v>
      </c>
      <c r="R573" t="s">
        <v>1</v>
      </c>
      <c r="S573" t="s">
        <v>1</v>
      </c>
      <c r="T573" t="s">
        <v>1</v>
      </c>
      <c r="U573" t="s">
        <v>1</v>
      </c>
      <c r="V573" t="s">
        <v>1</v>
      </c>
      <c r="W573" t="s">
        <v>1</v>
      </c>
      <c r="X573" t="s">
        <v>1</v>
      </c>
      <c r="Y573" t="s">
        <v>1</v>
      </c>
      <c r="Z573" t="s">
        <v>1</v>
      </c>
      <c r="AA573" t="s">
        <v>1</v>
      </c>
      <c r="AB573" t="s">
        <v>1</v>
      </c>
      <c r="AC573" t="s">
        <v>1</v>
      </c>
      <c r="AD573" t="s">
        <v>1</v>
      </c>
      <c r="AE573" t="s">
        <v>1</v>
      </c>
      <c r="AF573" t="s">
        <v>1</v>
      </c>
      <c r="AG573" t="s">
        <v>1</v>
      </c>
      <c r="AH573" t="s">
        <v>1</v>
      </c>
      <c r="AI573" t="s">
        <v>1</v>
      </c>
      <c r="AJ573" t="s">
        <v>1</v>
      </c>
      <c r="AK573" t="s">
        <v>1</v>
      </c>
      <c r="AL573" t="s">
        <v>1</v>
      </c>
      <c r="AM573" t="s">
        <v>1</v>
      </c>
      <c r="AN573">
        <v>541</v>
      </c>
      <c r="AO573">
        <f t="shared" si="74"/>
        <v>541</v>
      </c>
      <c r="AP573">
        <f t="shared" si="72"/>
        <v>89</v>
      </c>
      <c r="AQ573">
        <f t="shared" si="73"/>
        <v>89</v>
      </c>
      <c r="AR573" s="26" t="s">
        <v>1355</v>
      </c>
      <c r="AS573" s="26" t="s">
        <v>1356</v>
      </c>
      <c r="AT573" t="s">
        <v>725</v>
      </c>
      <c r="AU573" t="s">
        <v>1</v>
      </c>
      <c r="AV573" t="s">
        <v>1</v>
      </c>
      <c r="AW573">
        <v>51.82</v>
      </c>
      <c r="AX573">
        <v>-0.35</v>
      </c>
      <c r="AY573" t="s">
        <v>737</v>
      </c>
      <c r="BA573" s="3">
        <v>4</v>
      </c>
      <c r="BB573" s="3"/>
      <c r="BC573" s="3"/>
      <c r="BD573" s="3"/>
      <c r="BE573" s="3"/>
      <c r="BF573">
        <v>1998</v>
      </c>
      <c r="BG573" s="24" t="s">
        <v>733</v>
      </c>
      <c r="BH573" s="24" t="s">
        <v>733</v>
      </c>
      <c r="BI573" s="24" t="s">
        <v>733</v>
      </c>
      <c r="BJ573" s="24" t="s">
        <v>732</v>
      </c>
      <c r="BK573" s="24" t="s">
        <v>733</v>
      </c>
      <c r="BL573" s="25" t="s">
        <v>733</v>
      </c>
      <c r="BM573" s="24" t="s">
        <v>733</v>
      </c>
      <c r="BN573" s="24" t="s">
        <v>732</v>
      </c>
      <c r="BO573" s="24" t="s">
        <v>733</v>
      </c>
      <c r="BP573" s="24" t="s">
        <v>733</v>
      </c>
      <c r="BQ573" s="24" t="s">
        <v>945</v>
      </c>
      <c r="BR573" s="24" t="s">
        <v>945</v>
      </c>
      <c r="BS573" s="25" t="s">
        <v>934</v>
      </c>
      <c r="BT573" s="24" t="s">
        <v>934</v>
      </c>
      <c r="BU573" s="24" t="s">
        <v>934</v>
      </c>
      <c r="BV573" s="24" t="s">
        <v>934</v>
      </c>
      <c r="BW573" s="24" t="s">
        <v>934</v>
      </c>
      <c r="BX573" s="24" t="s">
        <v>934</v>
      </c>
      <c r="BY573" s="25" t="s">
        <v>945</v>
      </c>
      <c r="BZ573" t="s">
        <v>62</v>
      </c>
      <c r="CB573" t="s">
        <v>63</v>
      </c>
      <c r="CC573" s="4">
        <v>7709.9999999999991</v>
      </c>
      <c r="CD573" s="4"/>
      <c r="CE573" s="4"/>
      <c r="CF573" t="s">
        <v>793</v>
      </c>
      <c r="CG573">
        <v>100</v>
      </c>
      <c r="CH573" t="s">
        <v>805</v>
      </c>
      <c r="CI573" s="28">
        <v>1.7</v>
      </c>
      <c r="CJ573" s="10" t="s">
        <v>1442</v>
      </c>
      <c r="CK573" s="9" t="s">
        <v>1</v>
      </c>
      <c r="CL573" s="4" t="s">
        <v>1</v>
      </c>
      <c r="CM573" t="s">
        <v>848</v>
      </c>
      <c r="CN573" s="15">
        <v>175.6</v>
      </c>
      <c r="CO573" s="4" t="s">
        <v>1</v>
      </c>
      <c r="CP573" s="4" t="s">
        <v>1</v>
      </c>
      <c r="CQ573" s="4" t="s">
        <v>1</v>
      </c>
      <c r="CR573" s="4" t="s">
        <v>1</v>
      </c>
      <c r="CS573" s="4" t="s">
        <v>1</v>
      </c>
      <c r="CT573" s="4" t="s">
        <v>1</v>
      </c>
      <c r="CU573" s="4" t="s">
        <v>1</v>
      </c>
      <c r="CV573" t="s">
        <v>1068</v>
      </c>
      <c r="CW573">
        <v>100</v>
      </c>
      <c r="CX573">
        <v>0</v>
      </c>
      <c r="CY573">
        <v>30</v>
      </c>
      <c r="CZ573" s="26" t="s">
        <v>1358</v>
      </c>
      <c r="DA573" t="s">
        <v>734</v>
      </c>
      <c r="DB573">
        <v>20</v>
      </c>
      <c r="DC573">
        <v>0</v>
      </c>
      <c r="DD573">
        <v>30</v>
      </c>
      <c r="DE573" s="26" t="s">
        <v>1358</v>
      </c>
      <c r="DF573" t="s">
        <v>735</v>
      </c>
      <c r="DG573">
        <v>58</v>
      </c>
      <c r="DH573">
        <v>0</v>
      </c>
      <c r="DI573">
        <v>30</v>
      </c>
      <c r="DJ573" s="26" t="s">
        <v>1358</v>
      </c>
      <c r="DK573" t="s">
        <v>736</v>
      </c>
      <c r="DL573">
        <v>22</v>
      </c>
      <c r="DM573">
        <v>0</v>
      </c>
      <c r="DN573">
        <v>30</v>
      </c>
      <c r="DO573" s="26" t="s">
        <v>1358</v>
      </c>
      <c r="DP573" t="s">
        <v>6</v>
      </c>
      <c r="DQ573" t="s">
        <v>1</v>
      </c>
      <c r="DR573">
        <v>7.8</v>
      </c>
      <c r="DS573">
        <v>0</v>
      </c>
      <c r="DT573">
        <v>30</v>
      </c>
      <c r="DU573" s="26" t="s">
        <v>1358</v>
      </c>
      <c r="EA573" t="s">
        <v>982</v>
      </c>
      <c r="EB573">
        <v>10</v>
      </c>
      <c r="EC573">
        <v>0</v>
      </c>
      <c r="ED573">
        <v>30</v>
      </c>
      <c r="EE573" s="26" t="s">
        <v>1358</v>
      </c>
      <c r="EF573" s="26"/>
      <c r="FZ573" t="s">
        <v>806</v>
      </c>
      <c r="GA573">
        <v>696</v>
      </c>
      <c r="GE573" s="26" t="s">
        <v>1358</v>
      </c>
      <c r="HA573" s="5" t="s">
        <v>1069</v>
      </c>
      <c r="HB573" s="4">
        <v>14.4</v>
      </c>
      <c r="HC573">
        <v>0</v>
      </c>
      <c r="HD573">
        <v>30</v>
      </c>
      <c r="HE573" s="26" t="s">
        <v>1358</v>
      </c>
      <c r="HF573" s="5" t="s">
        <v>1063</v>
      </c>
      <c r="HG573" s="4">
        <v>1</v>
      </c>
      <c r="HH573">
        <v>0</v>
      </c>
      <c r="HI573">
        <v>30</v>
      </c>
      <c r="HJ573" s="26" t="s">
        <v>1358</v>
      </c>
      <c r="HK573" t="s">
        <v>1</v>
      </c>
      <c r="HL573" t="s">
        <v>1</v>
      </c>
      <c r="HM573" t="s">
        <v>1</v>
      </c>
      <c r="HN573" t="s">
        <v>1</v>
      </c>
      <c r="HO573" t="s">
        <v>1</v>
      </c>
      <c r="HP573" t="s">
        <v>1</v>
      </c>
      <c r="HZ573" t="s">
        <v>966</v>
      </c>
      <c r="IA573">
        <v>240</v>
      </c>
      <c r="IB573" s="5" t="s">
        <v>1</v>
      </c>
      <c r="IC573" s="5"/>
      <c r="ID573" s="5"/>
      <c r="IE573" s="10" t="s">
        <v>1</v>
      </c>
      <c r="IF573" s="10" t="s">
        <v>1</v>
      </c>
      <c r="IG573" s="10"/>
      <c r="IH573" s="10"/>
      <c r="II573" s="10"/>
      <c r="IJ573" s="10"/>
      <c r="IK573" s="10"/>
      <c r="IL573" s="10"/>
      <c r="IM573" s="10"/>
      <c r="IN573" s="10"/>
      <c r="IO573" s="10"/>
      <c r="IP573" s="10"/>
      <c r="IQ573" s="10"/>
      <c r="IR573" s="10"/>
      <c r="IS573" t="s">
        <v>1</v>
      </c>
      <c r="IT573" t="s">
        <v>1</v>
      </c>
      <c r="IW573" t="s">
        <v>1</v>
      </c>
      <c r="IX573" t="s">
        <v>1</v>
      </c>
      <c r="IY573" t="s">
        <v>1</v>
      </c>
      <c r="IZ573" t="s">
        <v>1</v>
      </c>
      <c r="JA573" t="s">
        <v>1</v>
      </c>
      <c r="JB573" s="3" t="s">
        <v>1</v>
      </c>
      <c r="JC573" t="s">
        <v>1</v>
      </c>
      <c r="JD573" s="4" t="s">
        <v>1</v>
      </c>
      <c r="JE573" t="s">
        <v>1</v>
      </c>
      <c r="JF573" t="s">
        <v>1</v>
      </c>
      <c r="JR573" t="s">
        <v>1066</v>
      </c>
      <c r="JS573">
        <v>197.5</v>
      </c>
      <c r="JU573" t="s">
        <v>1</v>
      </c>
      <c r="JW573" t="s">
        <v>1</v>
      </c>
      <c r="JX573">
        <v>0</v>
      </c>
      <c r="JY573">
        <v>75</v>
      </c>
      <c r="JZ573" t="s">
        <v>797</v>
      </c>
      <c r="KA573" t="s">
        <v>664</v>
      </c>
      <c r="KB573" t="s">
        <v>738</v>
      </c>
      <c r="KC573" t="s">
        <v>1</v>
      </c>
      <c r="KD573" t="s">
        <v>1</v>
      </c>
      <c r="KE573" t="s">
        <v>1</v>
      </c>
      <c r="KF573" t="s">
        <v>1</v>
      </c>
      <c r="KG573" t="s">
        <v>1</v>
      </c>
      <c r="KH573" t="s">
        <v>1</v>
      </c>
      <c r="KI573" t="s">
        <v>1</v>
      </c>
      <c r="KJ573" t="s">
        <v>1</v>
      </c>
      <c r="KK573" t="s">
        <v>1</v>
      </c>
    </row>
    <row r="574" spans="1:297" x14ac:dyDescent="0.2">
      <c r="A574">
        <v>542</v>
      </c>
      <c r="B574" t="s">
        <v>705</v>
      </c>
      <c r="C574" t="s">
        <v>663</v>
      </c>
      <c r="D574" t="s">
        <v>662</v>
      </c>
      <c r="E574">
        <v>89</v>
      </c>
      <c r="F574" t="s">
        <v>1341</v>
      </c>
      <c r="G574" t="s">
        <v>1</v>
      </c>
      <c r="H574" s="26" t="s">
        <v>1420</v>
      </c>
      <c r="I574" t="s">
        <v>1</v>
      </c>
      <c r="J574" t="s">
        <v>1</v>
      </c>
      <c r="K574" t="s">
        <v>1</v>
      </c>
      <c r="L574" t="s">
        <v>1</v>
      </c>
      <c r="M574" t="s">
        <v>1</v>
      </c>
      <c r="N574" t="s">
        <v>1</v>
      </c>
      <c r="O574" t="s">
        <v>1</v>
      </c>
      <c r="P574" t="s">
        <v>1</v>
      </c>
      <c r="Q574" t="s">
        <v>1</v>
      </c>
      <c r="R574" t="s">
        <v>1</v>
      </c>
      <c r="S574" t="s">
        <v>1</v>
      </c>
      <c r="T574" t="s">
        <v>1</v>
      </c>
      <c r="U574" t="s">
        <v>1</v>
      </c>
      <c r="V574" t="s">
        <v>1</v>
      </c>
      <c r="W574" t="s">
        <v>1</v>
      </c>
      <c r="X574" t="s">
        <v>1</v>
      </c>
      <c r="Y574" t="s">
        <v>1</v>
      </c>
      <c r="Z574" t="s">
        <v>1</v>
      </c>
      <c r="AA574" t="s">
        <v>1</v>
      </c>
      <c r="AB574" t="s">
        <v>1</v>
      </c>
      <c r="AC574" t="s">
        <v>1</v>
      </c>
      <c r="AD574" t="s">
        <v>1</v>
      </c>
      <c r="AE574" t="s">
        <v>1</v>
      </c>
      <c r="AF574" t="s">
        <v>1</v>
      </c>
      <c r="AG574" t="s">
        <v>1</v>
      </c>
      <c r="AH574" t="s">
        <v>1</v>
      </c>
      <c r="AI574" t="s">
        <v>1</v>
      </c>
      <c r="AJ574" t="s">
        <v>1</v>
      </c>
      <c r="AK574" t="s">
        <v>1</v>
      </c>
      <c r="AL574" t="s">
        <v>1</v>
      </c>
      <c r="AM574" t="s">
        <v>1</v>
      </c>
      <c r="AN574">
        <v>542</v>
      </c>
      <c r="AO574">
        <f t="shared" si="74"/>
        <v>542</v>
      </c>
      <c r="AP574">
        <f t="shared" si="72"/>
        <v>89</v>
      </c>
      <c r="AQ574">
        <f t="shared" si="73"/>
        <v>89</v>
      </c>
      <c r="AR574" s="26" t="s">
        <v>1355</v>
      </c>
      <c r="AS574" s="26" t="s">
        <v>1356</v>
      </c>
      <c r="AT574" t="s">
        <v>725</v>
      </c>
      <c r="AU574" t="s">
        <v>1</v>
      </c>
      <c r="AV574" t="s">
        <v>1</v>
      </c>
      <c r="AW574">
        <v>51.82</v>
      </c>
      <c r="AX574">
        <v>-0.35</v>
      </c>
      <c r="AY574" t="s">
        <v>737</v>
      </c>
      <c r="BA574" s="3">
        <v>4</v>
      </c>
      <c r="BB574" s="3"/>
      <c r="BC574" s="3"/>
      <c r="BD574" s="3"/>
      <c r="BE574" s="3"/>
      <c r="BF574">
        <v>1998</v>
      </c>
      <c r="BG574" s="24" t="s">
        <v>733</v>
      </c>
      <c r="BH574" s="24" t="s">
        <v>733</v>
      </c>
      <c r="BI574" s="24" t="s">
        <v>733</v>
      </c>
      <c r="BJ574" s="24" t="s">
        <v>732</v>
      </c>
      <c r="BK574" s="24" t="s">
        <v>733</v>
      </c>
      <c r="BL574" s="25" t="s">
        <v>733</v>
      </c>
      <c r="BM574" s="24" t="s">
        <v>733</v>
      </c>
      <c r="BN574" s="24" t="s">
        <v>732</v>
      </c>
      <c r="BO574" s="24" t="s">
        <v>733</v>
      </c>
      <c r="BP574" s="24" t="s">
        <v>733</v>
      </c>
      <c r="BQ574" s="24" t="s">
        <v>945</v>
      </c>
      <c r="BR574" s="24" t="s">
        <v>945</v>
      </c>
      <c r="BS574" s="25" t="s">
        <v>934</v>
      </c>
      <c r="BT574" s="24" t="s">
        <v>934</v>
      </c>
      <c r="BU574" s="24" t="s">
        <v>934</v>
      </c>
      <c r="BV574" s="24" t="s">
        <v>934</v>
      </c>
      <c r="BW574" s="24" t="s">
        <v>934</v>
      </c>
      <c r="BX574" s="24" t="s">
        <v>934</v>
      </c>
      <c r="BY574" s="25" t="s">
        <v>945</v>
      </c>
      <c r="BZ574" t="s">
        <v>62</v>
      </c>
      <c r="CB574" t="s">
        <v>63</v>
      </c>
      <c r="CC574" s="4">
        <v>1161.4285714285716</v>
      </c>
      <c r="CD574" s="4"/>
      <c r="CE574" s="4"/>
      <c r="CF574" t="s">
        <v>793</v>
      </c>
      <c r="CG574">
        <v>100</v>
      </c>
      <c r="CH574" t="s">
        <v>805</v>
      </c>
      <c r="CI574" s="28">
        <v>1.7</v>
      </c>
      <c r="CJ574" s="10" t="s">
        <v>1442</v>
      </c>
      <c r="CK574" s="9" t="s">
        <v>1</v>
      </c>
      <c r="CL574" s="4" t="s">
        <v>1</v>
      </c>
      <c r="CM574" t="s">
        <v>848</v>
      </c>
      <c r="CN574" s="15">
        <v>17.2</v>
      </c>
      <c r="CO574" s="4" t="s">
        <v>1</v>
      </c>
      <c r="CP574" s="4" t="s">
        <v>1</v>
      </c>
      <c r="CQ574" s="4" t="s">
        <v>1</v>
      </c>
      <c r="CR574" s="4" t="s">
        <v>1</v>
      </c>
      <c r="CS574" s="4" t="s">
        <v>1</v>
      </c>
      <c r="CT574" s="4" t="s">
        <v>1</v>
      </c>
      <c r="CU574" s="4" t="s">
        <v>1</v>
      </c>
      <c r="CV574" t="s">
        <v>1068</v>
      </c>
      <c r="CW574">
        <v>100</v>
      </c>
      <c r="CX574">
        <v>0</v>
      </c>
      <c r="CY574">
        <v>30</v>
      </c>
      <c r="CZ574" s="26" t="s">
        <v>1358</v>
      </c>
      <c r="DA574" t="s">
        <v>734</v>
      </c>
      <c r="DB574">
        <v>20</v>
      </c>
      <c r="DC574">
        <v>0</v>
      </c>
      <c r="DD574">
        <v>30</v>
      </c>
      <c r="DE574" s="26" t="s">
        <v>1358</v>
      </c>
      <c r="DF574" t="s">
        <v>735</v>
      </c>
      <c r="DG574">
        <v>58</v>
      </c>
      <c r="DH574">
        <v>0</v>
      </c>
      <c r="DI574">
        <v>30</v>
      </c>
      <c r="DJ574" s="26" t="s">
        <v>1358</v>
      </c>
      <c r="DK574" t="s">
        <v>736</v>
      </c>
      <c r="DL574">
        <v>22</v>
      </c>
      <c r="DM574">
        <v>0</v>
      </c>
      <c r="DN574">
        <v>30</v>
      </c>
      <c r="DO574" s="26" t="s">
        <v>1358</v>
      </c>
      <c r="DP574" t="s">
        <v>6</v>
      </c>
      <c r="DQ574" t="s">
        <v>1</v>
      </c>
      <c r="DR574">
        <v>7.8</v>
      </c>
      <c r="DS574">
        <v>0</v>
      </c>
      <c r="DT574">
        <v>30</v>
      </c>
      <c r="DU574" s="26" t="s">
        <v>1358</v>
      </c>
      <c r="EA574" t="s">
        <v>982</v>
      </c>
      <c r="EB574">
        <v>10</v>
      </c>
      <c r="EC574">
        <v>0</v>
      </c>
      <c r="ED574">
        <v>30</v>
      </c>
      <c r="EE574" s="26" t="s">
        <v>1358</v>
      </c>
      <c r="EF574" s="26"/>
      <c r="FZ574" t="s">
        <v>806</v>
      </c>
      <c r="GA574">
        <v>691.875</v>
      </c>
      <c r="GE574" s="26" t="s">
        <v>1358</v>
      </c>
      <c r="HA574" s="5" t="s">
        <v>1069</v>
      </c>
      <c r="HB574" s="4">
        <v>14.4</v>
      </c>
      <c r="HC574">
        <v>0</v>
      </c>
      <c r="HD574">
        <v>30</v>
      </c>
      <c r="HE574" s="26" t="s">
        <v>1358</v>
      </c>
      <c r="HF574" s="5" t="s">
        <v>1063</v>
      </c>
      <c r="HG574" s="4">
        <v>1</v>
      </c>
      <c r="HH574">
        <v>0</v>
      </c>
      <c r="HI574">
        <v>30</v>
      </c>
      <c r="HJ574" s="26" t="s">
        <v>1358</v>
      </c>
      <c r="HK574" t="s">
        <v>1</v>
      </c>
      <c r="HL574" t="s">
        <v>1</v>
      </c>
      <c r="HM574" t="s">
        <v>1</v>
      </c>
      <c r="HN574" t="s">
        <v>1</v>
      </c>
      <c r="HO574" t="s">
        <v>1</v>
      </c>
      <c r="HP574" t="s">
        <v>1</v>
      </c>
      <c r="HZ574" t="s">
        <v>1</v>
      </c>
      <c r="IA574" t="s">
        <v>1</v>
      </c>
      <c r="IB574" s="10" t="s">
        <v>1</v>
      </c>
      <c r="IC574" s="10"/>
      <c r="ID574" s="10"/>
      <c r="IE574" s="10" t="s">
        <v>1</v>
      </c>
      <c r="IF574" s="10" t="s">
        <v>1</v>
      </c>
      <c r="IG574" s="10"/>
      <c r="IH574" s="10"/>
      <c r="II574" s="10"/>
      <c r="IJ574" s="10"/>
      <c r="IK574" s="10"/>
      <c r="IL574" s="10"/>
      <c r="IM574" s="10"/>
      <c r="IN574" s="10"/>
      <c r="IO574" s="10"/>
      <c r="IP574" s="10"/>
      <c r="IQ574" s="10"/>
      <c r="IR574" s="10"/>
      <c r="IS574" t="s">
        <v>1</v>
      </c>
      <c r="IT574" t="s">
        <v>1</v>
      </c>
      <c r="IW574" t="s">
        <v>1</v>
      </c>
      <c r="IX574" t="s">
        <v>1</v>
      </c>
      <c r="IY574" t="s">
        <v>1</v>
      </c>
      <c r="IZ574" t="s">
        <v>1</v>
      </c>
      <c r="JA574" t="s">
        <v>1</v>
      </c>
      <c r="JB574" s="3" t="s">
        <v>1</v>
      </c>
      <c r="JC574" t="s">
        <v>1</v>
      </c>
      <c r="JD574" s="4" t="s">
        <v>1</v>
      </c>
      <c r="JE574" t="s">
        <v>1</v>
      </c>
      <c r="JF574" t="s">
        <v>1</v>
      </c>
      <c r="JR574" t="s">
        <v>1066</v>
      </c>
      <c r="JS574">
        <v>37.299999999999997</v>
      </c>
      <c r="JU574" t="s">
        <v>1</v>
      </c>
      <c r="JW574" t="s">
        <v>1</v>
      </c>
      <c r="JX574">
        <v>0</v>
      </c>
      <c r="JY574">
        <v>75</v>
      </c>
      <c r="JZ574" t="s">
        <v>797</v>
      </c>
      <c r="KA574" t="s">
        <v>664</v>
      </c>
      <c r="KB574" t="s">
        <v>738</v>
      </c>
      <c r="KC574" t="s">
        <v>1</v>
      </c>
      <c r="KD574" t="s">
        <v>1</v>
      </c>
      <c r="KE574" t="s">
        <v>1</v>
      </c>
      <c r="KF574" t="s">
        <v>1</v>
      </c>
      <c r="KG574" t="s">
        <v>1</v>
      </c>
      <c r="KH574" t="s">
        <v>1</v>
      </c>
      <c r="KI574" t="s">
        <v>1</v>
      </c>
      <c r="KJ574" t="s">
        <v>1</v>
      </c>
      <c r="KK574" t="s">
        <v>1</v>
      </c>
    </row>
    <row r="575" spans="1:297" x14ac:dyDescent="0.2">
      <c r="A575">
        <v>543</v>
      </c>
      <c r="B575" t="s">
        <v>705</v>
      </c>
      <c r="C575" t="s">
        <v>670</v>
      </c>
      <c r="D575" t="s">
        <v>662</v>
      </c>
      <c r="E575">
        <v>89</v>
      </c>
      <c r="F575" t="s">
        <v>1341</v>
      </c>
      <c r="G575" t="s">
        <v>1</v>
      </c>
      <c r="H575" s="26" t="s">
        <v>1420</v>
      </c>
      <c r="I575" t="s">
        <v>1</v>
      </c>
      <c r="J575" t="s">
        <v>1</v>
      </c>
      <c r="K575" t="s">
        <v>1</v>
      </c>
      <c r="L575" t="s">
        <v>1</v>
      </c>
      <c r="M575" t="s">
        <v>1</v>
      </c>
      <c r="N575" t="s">
        <v>1</v>
      </c>
      <c r="O575" t="s">
        <v>1</v>
      </c>
      <c r="P575" t="s">
        <v>1</v>
      </c>
      <c r="Q575" t="s">
        <v>1</v>
      </c>
      <c r="R575" t="s">
        <v>1</v>
      </c>
      <c r="S575" t="s">
        <v>1</v>
      </c>
      <c r="T575" t="s">
        <v>1</v>
      </c>
      <c r="U575" t="s">
        <v>1</v>
      </c>
      <c r="V575" t="s">
        <v>1</v>
      </c>
      <c r="W575" t="s">
        <v>1</v>
      </c>
      <c r="X575" t="s">
        <v>1</v>
      </c>
      <c r="Y575" t="s">
        <v>1</v>
      </c>
      <c r="Z575" t="s">
        <v>1</v>
      </c>
      <c r="AA575" t="s">
        <v>1</v>
      </c>
      <c r="AB575" t="s">
        <v>1</v>
      </c>
      <c r="AC575" t="s">
        <v>1</v>
      </c>
      <c r="AD575" t="s">
        <v>1</v>
      </c>
      <c r="AE575" t="s">
        <v>1</v>
      </c>
      <c r="AF575" t="s">
        <v>1</v>
      </c>
      <c r="AG575" t="s">
        <v>1</v>
      </c>
      <c r="AH575" t="s">
        <v>1</v>
      </c>
      <c r="AI575" t="s">
        <v>1</v>
      </c>
      <c r="AJ575" t="s">
        <v>1</v>
      </c>
      <c r="AK575" t="s">
        <v>1</v>
      </c>
      <c r="AL575" t="s">
        <v>1</v>
      </c>
      <c r="AM575" t="s">
        <v>1</v>
      </c>
      <c r="AN575">
        <v>543</v>
      </c>
      <c r="AO575">
        <f t="shared" si="74"/>
        <v>543</v>
      </c>
      <c r="AP575">
        <f t="shared" si="72"/>
        <v>89</v>
      </c>
      <c r="AQ575">
        <f t="shared" ref="AQ575:AQ591" si="75">E575</f>
        <v>89</v>
      </c>
      <c r="AR575" s="26" t="s">
        <v>1355</v>
      </c>
      <c r="AS575" s="26" t="s">
        <v>1356</v>
      </c>
      <c r="AT575" t="s">
        <v>725</v>
      </c>
      <c r="AU575" t="s">
        <v>1</v>
      </c>
      <c r="AV575" t="s">
        <v>1</v>
      </c>
      <c r="AW575">
        <v>51.82</v>
      </c>
      <c r="AX575">
        <v>-0.35</v>
      </c>
      <c r="AY575" t="s">
        <v>737</v>
      </c>
      <c r="BA575" s="3">
        <v>4</v>
      </c>
      <c r="BB575" s="3"/>
      <c r="BC575" s="3"/>
      <c r="BD575" s="3"/>
      <c r="BE575" s="3"/>
      <c r="BF575">
        <v>1998</v>
      </c>
      <c r="BG575" s="24" t="s">
        <v>733</v>
      </c>
      <c r="BH575" s="24" t="s">
        <v>733</v>
      </c>
      <c r="BI575" s="24" t="s">
        <v>733</v>
      </c>
      <c r="BJ575" s="24" t="s">
        <v>732</v>
      </c>
      <c r="BK575" s="24" t="s">
        <v>733</v>
      </c>
      <c r="BL575" s="25" t="s">
        <v>733</v>
      </c>
      <c r="BM575" s="24" t="s">
        <v>733</v>
      </c>
      <c r="BN575" s="24" t="s">
        <v>732</v>
      </c>
      <c r="BO575" s="24" t="s">
        <v>733</v>
      </c>
      <c r="BP575" s="24" t="s">
        <v>733</v>
      </c>
      <c r="BQ575" s="24" t="s">
        <v>945</v>
      </c>
      <c r="BR575" s="24" t="s">
        <v>945</v>
      </c>
      <c r="BS575" s="25" t="s">
        <v>934</v>
      </c>
      <c r="BT575" s="24" t="s">
        <v>934</v>
      </c>
      <c r="BU575" s="24" t="s">
        <v>934</v>
      </c>
      <c r="BV575" s="24" t="s">
        <v>934</v>
      </c>
      <c r="BW575" s="24" t="s">
        <v>934</v>
      </c>
      <c r="BX575" s="24" t="s">
        <v>934</v>
      </c>
      <c r="BY575" s="25" t="s">
        <v>945</v>
      </c>
      <c r="BZ575" t="s">
        <v>62</v>
      </c>
      <c r="CB575" t="s">
        <v>63</v>
      </c>
      <c r="CC575" s="4">
        <v>8247.1428571428569</v>
      </c>
      <c r="CD575" s="4"/>
      <c r="CE575" s="4"/>
      <c r="CF575" t="s">
        <v>793</v>
      </c>
      <c r="CG575">
        <v>100</v>
      </c>
      <c r="CH575" t="s">
        <v>805</v>
      </c>
      <c r="CI575" s="28">
        <v>1.7</v>
      </c>
      <c r="CJ575" s="10" t="s">
        <v>1442</v>
      </c>
      <c r="CK575" s="9" t="s">
        <v>1</v>
      </c>
      <c r="CL575" s="4" t="s">
        <v>1</v>
      </c>
      <c r="CM575" t="s">
        <v>848</v>
      </c>
      <c r="CN575" s="15">
        <v>197.2</v>
      </c>
      <c r="CO575" s="4" t="s">
        <v>1</v>
      </c>
      <c r="CP575" s="4" t="s">
        <v>1</v>
      </c>
      <c r="CQ575" s="4" t="s">
        <v>1</v>
      </c>
      <c r="CR575" s="4" t="s">
        <v>1</v>
      </c>
      <c r="CS575" s="4" t="s">
        <v>1</v>
      </c>
      <c r="CT575" s="4" t="s">
        <v>1</v>
      </c>
      <c r="CU575" s="4" t="s">
        <v>1</v>
      </c>
      <c r="CV575" t="s">
        <v>1068</v>
      </c>
      <c r="CW575">
        <v>100</v>
      </c>
      <c r="CX575">
        <v>0</v>
      </c>
      <c r="CY575">
        <v>30</v>
      </c>
      <c r="CZ575" s="26" t="s">
        <v>1358</v>
      </c>
      <c r="DA575" t="s">
        <v>734</v>
      </c>
      <c r="DB575">
        <v>20</v>
      </c>
      <c r="DC575">
        <v>0</v>
      </c>
      <c r="DD575">
        <v>30</v>
      </c>
      <c r="DE575" s="26" t="s">
        <v>1358</v>
      </c>
      <c r="DF575" t="s">
        <v>735</v>
      </c>
      <c r="DG575">
        <v>58</v>
      </c>
      <c r="DH575">
        <v>0</v>
      </c>
      <c r="DI575">
        <v>30</v>
      </c>
      <c r="DJ575" s="26" t="s">
        <v>1358</v>
      </c>
      <c r="DK575" t="s">
        <v>736</v>
      </c>
      <c r="DL575">
        <v>22</v>
      </c>
      <c r="DM575">
        <v>0</v>
      </c>
      <c r="DN575">
        <v>30</v>
      </c>
      <c r="DO575" s="26" t="s">
        <v>1358</v>
      </c>
      <c r="DP575" t="s">
        <v>6</v>
      </c>
      <c r="DQ575" t="s">
        <v>1</v>
      </c>
      <c r="DR575">
        <v>7.8</v>
      </c>
      <c r="DS575">
        <v>0</v>
      </c>
      <c r="DT575">
        <v>30</v>
      </c>
      <c r="DU575" s="26" t="s">
        <v>1358</v>
      </c>
      <c r="EA575" t="s">
        <v>982</v>
      </c>
      <c r="EB575">
        <v>10</v>
      </c>
      <c r="EC575">
        <v>0</v>
      </c>
      <c r="ED575">
        <v>30</v>
      </c>
      <c r="EE575" s="26" t="s">
        <v>1358</v>
      </c>
      <c r="EF575" s="26"/>
      <c r="FZ575" t="s">
        <v>806</v>
      </c>
      <c r="GA575">
        <v>691.875</v>
      </c>
      <c r="GE575" s="26" t="s">
        <v>1358</v>
      </c>
      <c r="HA575" s="5" t="s">
        <v>1069</v>
      </c>
      <c r="HB575" s="4">
        <v>14.4</v>
      </c>
      <c r="HC575">
        <v>0</v>
      </c>
      <c r="HD575">
        <v>30</v>
      </c>
      <c r="HE575" s="26" t="s">
        <v>1358</v>
      </c>
      <c r="HF575" s="5" t="s">
        <v>1063</v>
      </c>
      <c r="HG575" s="4">
        <v>1</v>
      </c>
      <c r="HH575">
        <v>0</v>
      </c>
      <c r="HI575">
        <v>30</v>
      </c>
      <c r="HJ575" s="26" t="s">
        <v>1358</v>
      </c>
      <c r="HK575" t="s">
        <v>1</v>
      </c>
      <c r="HL575" t="s">
        <v>1</v>
      </c>
      <c r="HM575" t="s">
        <v>1</v>
      </c>
      <c r="HN575" t="s">
        <v>1</v>
      </c>
      <c r="HO575" t="s">
        <v>1</v>
      </c>
      <c r="HP575" t="s">
        <v>1</v>
      </c>
      <c r="HZ575" t="s">
        <v>966</v>
      </c>
      <c r="IA575">
        <v>288</v>
      </c>
      <c r="IB575" s="5" t="s">
        <v>1</v>
      </c>
      <c r="IC575" s="5"/>
      <c r="ID575" s="5"/>
      <c r="IE575" s="10" t="s">
        <v>1</v>
      </c>
      <c r="IF575" s="10" t="s">
        <v>1</v>
      </c>
      <c r="IG575" s="10"/>
      <c r="IH575" s="10"/>
      <c r="II575" s="10"/>
      <c r="IJ575" s="10"/>
      <c r="IK575" s="10"/>
      <c r="IL575" s="10"/>
      <c r="IM575" s="10"/>
      <c r="IN575" s="10"/>
      <c r="IO575" s="10"/>
      <c r="IP575" s="10"/>
      <c r="IQ575" s="10"/>
      <c r="IR575" s="10"/>
      <c r="IS575" t="s">
        <v>1</v>
      </c>
      <c r="IT575" t="s">
        <v>1</v>
      </c>
      <c r="IW575" t="s">
        <v>1</v>
      </c>
      <c r="IX575" t="s">
        <v>1</v>
      </c>
      <c r="IY575" t="s">
        <v>1</v>
      </c>
      <c r="IZ575" t="s">
        <v>1</v>
      </c>
      <c r="JA575" t="s">
        <v>1</v>
      </c>
      <c r="JB575" s="3" t="s">
        <v>1</v>
      </c>
      <c r="JC575" t="s">
        <v>1</v>
      </c>
      <c r="JD575" s="4" t="s">
        <v>1</v>
      </c>
      <c r="JE575" t="s">
        <v>1</v>
      </c>
      <c r="JF575" t="s">
        <v>1</v>
      </c>
      <c r="JR575" t="s">
        <v>1066</v>
      </c>
      <c r="JS575">
        <v>210.6</v>
      </c>
      <c r="JU575" t="s">
        <v>1</v>
      </c>
      <c r="JW575" t="s">
        <v>1</v>
      </c>
      <c r="JX575">
        <v>0</v>
      </c>
      <c r="JY575">
        <v>75</v>
      </c>
      <c r="JZ575" t="s">
        <v>797</v>
      </c>
      <c r="KA575" t="s">
        <v>664</v>
      </c>
      <c r="KB575" t="s">
        <v>738</v>
      </c>
      <c r="KC575" t="s">
        <v>1</v>
      </c>
      <c r="KD575" t="s">
        <v>1</v>
      </c>
      <c r="KE575" t="s">
        <v>1</v>
      </c>
      <c r="KF575" t="s">
        <v>1</v>
      </c>
      <c r="KG575" t="s">
        <v>1</v>
      </c>
      <c r="KH575" t="s">
        <v>1</v>
      </c>
      <c r="KI575" t="s">
        <v>1</v>
      </c>
      <c r="KJ575" t="s">
        <v>1</v>
      </c>
      <c r="KK575" t="s">
        <v>1</v>
      </c>
    </row>
    <row r="576" spans="1:297" x14ac:dyDescent="0.2">
      <c r="A576">
        <v>544</v>
      </c>
      <c r="B576" t="s">
        <v>705</v>
      </c>
      <c r="C576" t="s">
        <v>671</v>
      </c>
      <c r="D576" t="s">
        <v>662</v>
      </c>
      <c r="E576">
        <v>89</v>
      </c>
      <c r="F576" t="s">
        <v>1341</v>
      </c>
      <c r="G576" t="s">
        <v>1</v>
      </c>
      <c r="H576" s="26" t="s">
        <v>1420</v>
      </c>
      <c r="I576" t="s">
        <v>1</v>
      </c>
      <c r="J576" t="s">
        <v>1</v>
      </c>
      <c r="K576" t="s">
        <v>1</v>
      </c>
      <c r="L576" t="s">
        <v>1</v>
      </c>
      <c r="M576" t="s">
        <v>1</v>
      </c>
      <c r="N576" t="s">
        <v>1</v>
      </c>
      <c r="O576" t="s">
        <v>1</v>
      </c>
      <c r="P576" t="s">
        <v>1</v>
      </c>
      <c r="Q576" t="s">
        <v>1</v>
      </c>
      <c r="R576" t="s">
        <v>1</v>
      </c>
      <c r="S576" t="s">
        <v>1</v>
      </c>
      <c r="T576" t="s">
        <v>1</v>
      </c>
      <c r="U576" t="s">
        <v>1</v>
      </c>
      <c r="V576" t="s">
        <v>1</v>
      </c>
      <c r="W576" t="s">
        <v>1</v>
      </c>
      <c r="X576" t="s">
        <v>1</v>
      </c>
      <c r="Y576" t="s">
        <v>1</v>
      </c>
      <c r="Z576" t="s">
        <v>1</v>
      </c>
      <c r="AA576" t="s">
        <v>1</v>
      </c>
      <c r="AB576" t="s">
        <v>1</v>
      </c>
      <c r="AC576" t="s">
        <v>1</v>
      </c>
      <c r="AD576" t="s">
        <v>1</v>
      </c>
      <c r="AE576" t="s">
        <v>1</v>
      </c>
      <c r="AF576" t="s">
        <v>1</v>
      </c>
      <c r="AG576" t="s">
        <v>1</v>
      </c>
      <c r="AH576" t="s">
        <v>1</v>
      </c>
      <c r="AI576" t="s">
        <v>1</v>
      </c>
      <c r="AJ576" t="s">
        <v>1</v>
      </c>
      <c r="AK576" t="s">
        <v>1</v>
      </c>
      <c r="AL576" t="s">
        <v>1</v>
      </c>
      <c r="AM576" t="s">
        <v>1</v>
      </c>
      <c r="AN576">
        <v>544</v>
      </c>
      <c r="AO576">
        <f t="shared" si="74"/>
        <v>544</v>
      </c>
      <c r="AP576">
        <f t="shared" si="72"/>
        <v>89</v>
      </c>
      <c r="AQ576">
        <f t="shared" si="75"/>
        <v>89</v>
      </c>
      <c r="AR576" s="26" t="s">
        <v>1355</v>
      </c>
      <c r="AS576" s="26" t="s">
        <v>1356</v>
      </c>
      <c r="AT576" t="s">
        <v>725</v>
      </c>
      <c r="AU576" t="s">
        <v>1</v>
      </c>
      <c r="AV576" t="s">
        <v>1</v>
      </c>
      <c r="AW576">
        <v>51.82</v>
      </c>
      <c r="AX576">
        <v>-0.35</v>
      </c>
      <c r="AY576" t="s">
        <v>737</v>
      </c>
      <c r="BA576" s="3">
        <v>4</v>
      </c>
      <c r="BB576" s="3"/>
      <c r="BC576" s="3"/>
      <c r="BD576" s="3"/>
      <c r="BE576" s="3"/>
      <c r="BF576">
        <v>1998</v>
      </c>
      <c r="BG576" s="24" t="s">
        <v>733</v>
      </c>
      <c r="BH576" s="24" t="s">
        <v>733</v>
      </c>
      <c r="BI576" s="24" t="s">
        <v>733</v>
      </c>
      <c r="BJ576" s="24" t="s">
        <v>732</v>
      </c>
      <c r="BK576" s="24" t="s">
        <v>733</v>
      </c>
      <c r="BL576" s="25" t="s">
        <v>733</v>
      </c>
      <c r="BM576" s="24" t="s">
        <v>733</v>
      </c>
      <c r="BN576" s="24" t="s">
        <v>732</v>
      </c>
      <c r="BO576" s="24" t="s">
        <v>733</v>
      </c>
      <c r="BP576" s="24" t="s">
        <v>733</v>
      </c>
      <c r="BQ576" s="24" t="s">
        <v>945</v>
      </c>
      <c r="BR576" s="24" t="s">
        <v>945</v>
      </c>
      <c r="BS576" s="25" t="s">
        <v>934</v>
      </c>
      <c r="BT576" s="24" t="s">
        <v>934</v>
      </c>
      <c r="BU576" s="24" t="s">
        <v>934</v>
      </c>
      <c r="BV576" s="24" t="s">
        <v>934</v>
      </c>
      <c r="BW576" s="24" t="s">
        <v>934</v>
      </c>
      <c r="BX576" s="24" t="s">
        <v>934</v>
      </c>
      <c r="BY576" s="25" t="s">
        <v>945</v>
      </c>
      <c r="BZ576" t="s">
        <v>62</v>
      </c>
      <c r="CB576" t="s">
        <v>63</v>
      </c>
      <c r="CC576" s="4">
        <v>5899.9999999999991</v>
      </c>
      <c r="CD576" s="4"/>
      <c r="CE576" s="4"/>
      <c r="CF576" t="s">
        <v>793</v>
      </c>
      <c r="CG576">
        <v>100</v>
      </c>
      <c r="CH576" t="s">
        <v>805</v>
      </c>
      <c r="CI576" s="28">
        <v>1.7</v>
      </c>
      <c r="CJ576" s="10" t="s">
        <v>1442</v>
      </c>
      <c r="CK576" s="9" t="s">
        <v>1</v>
      </c>
      <c r="CL576" s="4" t="s">
        <v>1</v>
      </c>
      <c r="CM576" t="s">
        <v>848</v>
      </c>
      <c r="CN576" s="15">
        <v>105.2</v>
      </c>
      <c r="CO576" s="4" t="s">
        <v>1</v>
      </c>
      <c r="CP576" s="4" t="s">
        <v>1</v>
      </c>
      <c r="CQ576" s="4" t="s">
        <v>1</v>
      </c>
      <c r="CR576" s="4" t="s">
        <v>1</v>
      </c>
      <c r="CS576" s="4" t="s">
        <v>1</v>
      </c>
      <c r="CT576" s="4" t="s">
        <v>1</v>
      </c>
      <c r="CU576" s="4" t="s">
        <v>1</v>
      </c>
      <c r="CV576" t="s">
        <v>1068</v>
      </c>
      <c r="CW576">
        <v>100</v>
      </c>
      <c r="CX576">
        <v>0</v>
      </c>
      <c r="CY576">
        <v>30</v>
      </c>
      <c r="CZ576" s="26" t="s">
        <v>1358</v>
      </c>
      <c r="DA576" t="s">
        <v>734</v>
      </c>
      <c r="DB576">
        <v>20</v>
      </c>
      <c r="DC576">
        <v>0</v>
      </c>
      <c r="DD576">
        <v>30</v>
      </c>
      <c r="DE576" s="26" t="s">
        <v>1358</v>
      </c>
      <c r="DF576" t="s">
        <v>735</v>
      </c>
      <c r="DG576">
        <v>58</v>
      </c>
      <c r="DH576">
        <v>0</v>
      </c>
      <c r="DI576">
        <v>30</v>
      </c>
      <c r="DJ576" s="26" t="s">
        <v>1358</v>
      </c>
      <c r="DK576" t="s">
        <v>736</v>
      </c>
      <c r="DL576">
        <v>22</v>
      </c>
      <c r="DM576">
        <v>0</v>
      </c>
      <c r="DN576">
        <v>30</v>
      </c>
      <c r="DO576" s="26" t="s">
        <v>1358</v>
      </c>
      <c r="DP576" t="s">
        <v>6</v>
      </c>
      <c r="DQ576" t="s">
        <v>1</v>
      </c>
      <c r="DR576">
        <v>7.8</v>
      </c>
      <c r="DS576">
        <v>0</v>
      </c>
      <c r="DT576">
        <v>30</v>
      </c>
      <c r="DU576" s="26" t="s">
        <v>1358</v>
      </c>
      <c r="EA576" t="s">
        <v>982</v>
      </c>
      <c r="EB576">
        <v>27</v>
      </c>
      <c r="EC576">
        <v>0</v>
      </c>
      <c r="ED576">
        <v>30</v>
      </c>
      <c r="EE576" s="26" t="s">
        <v>1358</v>
      </c>
      <c r="EF576" s="26"/>
      <c r="FZ576" t="s">
        <v>806</v>
      </c>
      <c r="GA576">
        <v>691.875</v>
      </c>
      <c r="GE576" s="26" t="s">
        <v>1358</v>
      </c>
      <c r="HA576" s="5" t="s">
        <v>1069</v>
      </c>
      <c r="HB576" s="4">
        <v>18</v>
      </c>
      <c r="HC576">
        <v>0</v>
      </c>
      <c r="HD576">
        <v>30</v>
      </c>
      <c r="HE576" s="26" t="s">
        <v>1358</v>
      </c>
      <c r="HF576" s="5" t="s">
        <v>1063</v>
      </c>
      <c r="HG576" s="4">
        <v>2.7</v>
      </c>
      <c r="HH576">
        <v>0</v>
      </c>
      <c r="HI576">
        <v>30</v>
      </c>
      <c r="HJ576" s="26" t="s">
        <v>1358</v>
      </c>
      <c r="HK576" t="s">
        <v>1</v>
      </c>
      <c r="HL576" t="s">
        <v>1</v>
      </c>
      <c r="HM576" t="s">
        <v>1</v>
      </c>
      <c r="HN576" t="s">
        <v>1</v>
      </c>
      <c r="HO576" t="s">
        <v>1</v>
      </c>
      <c r="HP576" t="s">
        <v>1</v>
      </c>
      <c r="HZ576" t="s">
        <v>1</v>
      </c>
      <c r="IA576" t="s">
        <v>1</v>
      </c>
      <c r="IB576" s="10" t="s">
        <v>1</v>
      </c>
      <c r="IC576" s="10"/>
      <c r="ID576" s="10"/>
      <c r="IE576" s="10" t="s">
        <v>1</v>
      </c>
      <c r="IF576" s="10" t="s">
        <v>1</v>
      </c>
      <c r="IG576" s="10"/>
      <c r="IH576" s="10"/>
      <c r="II576" s="10"/>
      <c r="IJ576" s="10"/>
      <c r="IK576" s="10"/>
      <c r="IL576" s="10"/>
      <c r="IM576" s="10"/>
      <c r="IN576" s="10"/>
      <c r="IO576" s="10"/>
      <c r="IP576" s="10"/>
      <c r="IQ576" s="10"/>
      <c r="IR576" s="10"/>
      <c r="IS576" t="s">
        <v>978</v>
      </c>
      <c r="IT576">
        <v>265</v>
      </c>
      <c r="IW576" t="s">
        <v>1</v>
      </c>
      <c r="IX576" t="s">
        <v>1</v>
      </c>
      <c r="IY576" t="s">
        <v>1</v>
      </c>
      <c r="IZ576" t="s">
        <v>1</v>
      </c>
      <c r="JA576" t="s">
        <v>1</v>
      </c>
      <c r="JB576" s="3" t="s">
        <v>1</v>
      </c>
      <c r="JC576" t="s">
        <v>1</v>
      </c>
      <c r="JD576" s="4" t="s">
        <v>1</v>
      </c>
      <c r="JE576" t="s">
        <v>1</v>
      </c>
      <c r="JF576" t="s">
        <v>1</v>
      </c>
      <c r="JR576" t="s">
        <v>1066</v>
      </c>
      <c r="JS576">
        <v>261.2</v>
      </c>
      <c r="JU576" t="s">
        <v>1</v>
      </c>
      <c r="JW576" t="s">
        <v>1</v>
      </c>
      <c r="JX576">
        <v>0</v>
      </c>
      <c r="JY576">
        <v>75</v>
      </c>
      <c r="JZ576" t="s">
        <v>797</v>
      </c>
      <c r="KA576" t="s">
        <v>664</v>
      </c>
      <c r="KB576" t="s">
        <v>738</v>
      </c>
      <c r="KC576" t="s">
        <v>1</v>
      </c>
      <c r="KD576" t="s">
        <v>1</v>
      </c>
      <c r="KE576" t="s">
        <v>1</v>
      </c>
      <c r="KF576" t="s">
        <v>1</v>
      </c>
      <c r="KG576" t="s">
        <v>1</v>
      </c>
      <c r="KH576" t="s">
        <v>1</v>
      </c>
      <c r="KI576" t="s">
        <v>1</v>
      </c>
      <c r="KJ576" t="s">
        <v>1</v>
      </c>
      <c r="KK576" t="s">
        <v>1</v>
      </c>
    </row>
    <row r="577" spans="1:297" x14ac:dyDescent="0.2">
      <c r="A577">
        <v>545</v>
      </c>
      <c r="B577" t="s">
        <v>705</v>
      </c>
      <c r="C577" t="s">
        <v>672</v>
      </c>
      <c r="D577" t="s">
        <v>662</v>
      </c>
      <c r="E577">
        <v>89</v>
      </c>
      <c r="F577" t="s">
        <v>1341</v>
      </c>
      <c r="G577" t="s">
        <v>1</v>
      </c>
      <c r="H577" s="26" t="s">
        <v>1420</v>
      </c>
      <c r="I577" t="s">
        <v>1</v>
      </c>
      <c r="J577" t="s">
        <v>1</v>
      </c>
      <c r="K577" t="s">
        <v>1</v>
      </c>
      <c r="L577" t="s">
        <v>1</v>
      </c>
      <c r="M577" t="s">
        <v>1</v>
      </c>
      <c r="N577" t="s">
        <v>1</v>
      </c>
      <c r="O577" t="s">
        <v>1</v>
      </c>
      <c r="P577" t="s">
        <v>1</v>
      </c>
      <c r="Q577" t="s">
        <v>1</v>
      </c>
      <c r="R577" t="s">
        <v>1</v>
      </c>
      <c r="S577" t="s">
        <v>1</v>
      </c>
      <c r="T577" t="s">
        <v>1</v>
      </c>
      <c r="U577" t="s">
        <v>1</v>
      </c>
      <c r="V577" t="s">
        <v>1</v>
      </c>
      <c r="W577" t="s">
        <v>1</v>
      </c>
      <c r="X577" t="s">
        <v>1</v>
      </c>
      <c r="Y577" t="s">
        <v>1</v>
      </c>
      <c r="Z577" t="s">
        <v>1</v>
      </c>
      <c r="AA577" t="s">
        <v>1</v>
      </c>
      <c r="AB577" t="s">
        <v>1</v>
      </c>
      <c r="AC577" t="s">
        <v>1</v>
      </c>
      <c r="AD577" t="s">
        <v>1</v>
      </c>
      <c r="AE577" t="s">
        <v>1</v>
      </c>
      <c r="AF577" t="s">
        <v>1</v>
      </c>
      <c r="AG577" t="s">
        <v>1</v>
      </c>
      <c r="AH577" t="s">
        <v>1</v>
      </c>
      <c r="AI577" t="s">
        <v>1</v>
      </c>
      <c r="AJ577" t="s">
        <v>1</v>
      </c>
      <c r="AK577" t="s">
        <v>1</v>
      </c>
      <c r="AL577" t="s">
        <v>1</v>
      </c>
      <c r="AM577" t="s">
        <v>1</v>
      </c>
      <c r="AN577">
        <v>545</v>
      </c>
      <c r="AO577">
        <f t="shared" si="74"/>
        <v>545</v>
      </c>
      <c r="AP577">
        <f t="shared" si="72"/>
        <v>89</v>
      </c>
      <c r="AQ577">
        <f t="shared" si="75"/>
        <v>89</v>
      </c>
      <c r="AR577" s="26" t="s">
        <v>1355</v>
      </c>
      <c r="AS577" s="26" t="s">
        <v>1356</v>
      </c>
      <c r="AT577" t="s">
        <v>725</v>
      </c>
      <c r="AU577" t="s">
        <v>1</v>
      </c>
      <c r="AV577" t="s">
        <v>1</v>
      </c>
      <c r="AW577">
        <v>51.82</v>
      </c>
      <c r="AX577">
        <v>-0.35</v>
      </c>
      <c r="AY577" t="s">
        <v>737</v>
      </c>
      <c r="BA577" s="3">
        <v>4</v>
      </c>
      <c r="BB577" s="3"/>
      <c r="BC577" s="3"/>
      <c r="BD577" s="3"/>
      <c r="BE577" s="3"/>
      <c r="BF577">
        <v>1998</v>
      </c>
      <c r="BG577" s="24" t="s">
        <v>733</v>
      </c>
      <c r="BH577" s="24" t="s">
        <v>733</v>
      </c>
      <c r="BI577" s="24" t="s">
        <v>733</v>
      </c>
      <c r="BJ577" s="24" t="s">
        <v>732</v>
      </c>
      <c r="BK577" s="24" t="s">
        <v>733</v>
      </c>
      <c r="BL577" s="25" t="s">
        <v>733</v>
      </c>
      <c r="BM577" s="24" t="s">
        <v>733</v>
      </c>
      <c r="BN577" s="24" t="s">
        <v>732</v>
      </c>
      <c r="BO577" s="24" t="s">
        <v>733</v>
      </c>
      <c r="BP577" s="24" t="s">
        <v>733</v>
      </c>
      <c r="BQ577" s="24" t="s">
        <v>945</v>
      </c>
      <c r="BR577" s="24" t="s">
        <v>945</v>
      </c>
      <c r="BS577" s="25" t="s">
        <v>934</v>
      </c>
      <c r="BT577" s="24" t="s">
        <v>934</v>
      </c>
      <c r="BU577" s="24" t="s">
        <v>934</v>
      </c>
      <c r="BV577" s="24" t="s">
        <v>934</v>
      </c>
      <c r="BW577" s="24" t="s">
        <v>934</v>
      </c>
      <c r="BX577" s="24" t="s">
        <v>934</v>
      </c>
      <c r="BY577" s="25" t="s">
        <v>945</v>
      </c>
      <c r="BZ577" t="s">
        <v>62</v>
      </c>
      <c r="CB577" t="s">
        <v>63</v>
      </c>
      <c r="CC577" s="4">
        <v>8254.2857142857156</v>
      </c>
      <c r="CD577" s="4"/>
      <c r="CE577" s="4"/>
      <c r="CF577" t="s">
        <v>793</v>
      </c>
      <c r="CG577">
        <v>100</v>
      </c>
      <c r="CH577" t="s">
        <v>805</v>
      </c>
      <c r="CI577" s="28">
        <v>1.7</v>
      </c>
      <c r="CJ577" s="10" t="s">
        <v>1442</v>
      </c>
      <c r="CK577" s="9" t="s">
        <v>1</v>
      </c>
      <c r="CL577" s="4" t="s">
        <v>1</v>
      </c>
      <c r="CM577" t="s">
        <v>848</v>
      </c>
      <c r="CN577" s="15">
        <v>170</v>
      </c>
      <c r="CO577" s="4" t="s">
        <v>1</v>
      </c>
      <c r="CP577" s="4" t="s">
        <v>1</v>
      </c>
      <c r="CQ577" s="4" t="s">
        <v>1</v>
      </c>
      <c r="CR577" s="4" t="s">
        <v>1</v>
      </c>
      <c r="CS577" s="4" t="s">
        <v>1</v>
      </c>
      <c r="CT577" s="4" t="s">
        <v>1</v>
      </c>
      <c r="CU577" s="4" t="s">
        <v>1</v>
      </c>
      <c r="CV577" t="s">
        <v>1068</v>
      </c>
      <c r="CW577">
        <v>100</v>
      </c>
      <c r="CX577">
        <v>0</v>
      </c>
      <c r="CY577">
        <v>30</v>
      </c>
      <c r="CZ577" s="26" t="s">
        <v>1358</v>
      </c>
      <c r="DA577" t="s">
        <v>734</v>
      </c>
      <c r="DB577">
        <v>20</v>
      </c>
      <c r="DC577">
        <v>0</v>
      </c>
      <c r="DD577">
        <v>30</v>
      </c>
      <c r="DE577" s="26" t="s">
        <v>1358</v>
      </c>
      <c r="DF577" t="s">
        <v>735</v>
      </c>
      <c r="DG577">
        <v>58</v>
      </c>
      <c r="DH577">
        <v>0</v>
      </c>
      <c r="DI577">
        <v>30</v>
      </c>
      <c r="DJ577" s="26" t="s">
        <v>1358</v>
      </c>
      <c r="DK577" t="s">
        <v>736</v>
      </c>
      <c r="DL577">
        <v>22</v>
      </c>
      <c r="DM577">
        <v>0</v>
      </c>
      <c r="DN577">
        <v>30</v>
      </c>
      <c r="DO577" s="26" t="s">
        <v>1358</v>
      </c>
      <c r="DP577" t="s">
        <v>6</v>
      </c>
      <c r="DQ577" t="s">
        <v>1</v>
      </c>
      <c r="DR577">
        <v>7.8</v>
      </c>
      <c r="DS577">
        <v>0</v>
      </c>
      <c r="DT577">
        <v>30</v>
      </c>
      <c r="DU577" s="26" t="s">
        <v>1358</v>
      </c>
      <c r="EA577" t="s">
        <v>982</v>
      </c>
      <c r="EB577">
        <v>27</v>
      </c>
      <c r="EC577">
        <v>0</v>
      </c>
      <c r="ED577">
        <v>30</v>
      </c>
      <c r="EE577" s="26" t="s">
        <v>1358</v>
      </c>
      <c r="EF577" s="26"/>
      <c r="FZ577" t="s">
        <v>806</v>
      </c>
      <c r="GA577">
        <v>691.875</v>
      </c>
      <c r="GE577" s="26" t="s">
        <v>1358</v>
      </c>
      <c r="HA577" s="5" t="s">
        <v>1069</v>
      </c>
      <c r="HB577" s="4">
        <v>18</v>
      </c>
      <c r="HC577">
        <v>0</v>
      </c>
      <c r="HD577">
        <v>30</v>
      </c>
      <c r="HE577" s="26" t="s">
        <v>1358</v>
      </c>
      <c r="HF577" s="5" t="s">
        <v>1063</v>
      </c>
      <c r="HG577" s="4">
        <v>2.7</v>
      </c>
      <c r="HH577">
        <v>0</v>
      </c>
      <c r="HI577">
        <v>30</v>
      </c>
      <c r="HJ577" s="26" t="s">
        <v>1358</v>
      </c>
      <c r="HK577" t="s">
        <v>1</v>
      </c>
      <c r="HL577" t="s">
        <v>1</v>
      </c>
      <c r="HM577" t="s">
        <v>1</v>
      </c>
      <c r="HN577" t="s">
        <v>1</v>
      </c>
      <c r="HO577" t="s">
        <v>1</v>
      </c>
      <c r="HP577" t="s">
        <v>1</v>
      </c>
      <c r="HZ577" t="s">
        <v>966</v>
      </c>
      <c r="IA577">
        <v>96</v>
      </c>
      <c r="IB577" s="5" t="s">
        <v>1</v>
      </c>
      <c r="IC577" s="5"/>
      <c r="ID577" s="5"/>
      <c r="IE577" s="10" t="s">
        <v>1</v>
      </c>
      <c r="IF577" s="10" t="s">
        <v>1</v>
      </c>
      <c r="IG577" s="10"/>
      <c r="IH577" s="10"/>
      <c r="II577" s="10"/>
      <c r="IJ577" s="10"/>
      <c r="IK577" s="10"/>
      <c r="IL577" s="10"/>
      <c r="IM577" s="10"/>
      <c r="IN577" s="10"/>
      <c r="IO577" s="10"/>
      <c r="IP577" s="10"/>
      <c r="IQ577" s="10"/>
      <c r="IR577" s="10"/>
      <c r="IS577" t="s">
        <v>978</v>
      </c>
      <c r="IT577">
        <v>265</v>
      </c>
      <c r="IW577" t="s">
        <v>1</v>
      </c>
      <c r="IX577" t="s">
        <v>1</v>
      </c>
      <c r="IY577" t="s">
        <v>1</v>
      </c>
      <c r="IZ577" t="s">
        <v>1</v>
      </c>
      <c r="JA577" t="s">
        <v>1</v>
      </c>
      <c r="JB577" s="3" t="s">
        <v>1</v>
      </c>
      <c r="JC577" t="s">
        <v>1</v>
      </c>
      <c r="JD577" s="4" t="s">
        <v>1</v>
      </c>
      <c r="JE577" t="s">
        <v>1</v>
      </c>
      <c r="JF577" t="s">
        <v>1</v>
      </c>
      <c r="JR577" t="s">
        <v>1066</v>
      </c>
      <c r="JS577">
        <v>340.2</v>
      </c>
      <c r="JU577" t="s">
        <v>1</v>
      </c>
      <c r="JW577" t="s">
        <v>1</v>
      </c>
      <c r="JX577">
        <v>0</v>
      </c>
      <c r="JY577">
        <v>75</v>
      </c>
      <c r="JZ577" t="s">
        <v>797</v>
      </c>
      <c r="KA577" t="s">
        <v>664</v>
      </c>
      <c r="KB577" t="s">
        <v>738</v>
      </c>
      <c r="KC577" t="s">
        <v>1</v>
      </c>
      <c r="KD577" t="s">
        <v>1</v>
      </c>
      <c r="KE577" t="s">
        <v>1</v>
      </c>
      <c r="KF577" t="s">
        <v>1</v>
      </c>
      <c r="KG577" t="s">
        <v>1</v>
      </c>
      <c r="KH577" t="s">
        <v>1</v>
      </c>
      <c r="KI577" t="s">
        <v>1</v>
      </c>
      <c r="KJ577" t="s">
        <v>1</v>
      </c>
      <c r="KK577" t="s">
        <v>1</v>
      </c>
    </row>
    <row r="578" spans="1:297" x14ac:dyDescent="0.2">
      <c r="A578">
        <v>546</v>
      </c>
      <c r="B578" t="s">
        <v>705</v>
      </c>
      <c r="C578" t="s">
        <v>673</v>
      </c>
      <c r="D578" t="s">
        <v>696</v>
      </c>
      <c r="E578">
        <v>90</v>
      </c>
      <c r="F578" t="s">
        <v>1342</v>
      </c>
      <c r="G578" t="s">
        <v>1</v>
      </c>
      <c r="H578" s="26" t="s">
        <v>1420</v>
      </c>
      <c r="I578" t="s">
        <v>1</v>
      </c>
      <c r="J578" t="s">
        <v>1</v>
      </c>
      <c r="K578" t="s">
        <v>1</v>
      </c>
      <c r="L578" t="s">
        <v>1</v>
      </c>
      <c r="M578" t="s">
        <v>1</v>
      </c>
      <c r="N578" t="s">
        <v>1</v>
      </c>
      <c r="O578" t="s">
        <v>1</v>
      </c>
      <c r="P578" t="s">
        <v>1</v>
      </c>
      <c r="Q578" t="s">
        <v>1</v>
      </c>
      <c r="R578" t="s">
        <v>1</v>
      </c>
      <c r="S578" t="s">
        <v>1</v>
      </c>
      <c r="T578" t="s">
        <v>1</v>
      </c>
      <c r="U578" t="s">
        <v>1</v>
      </c>
      <c r="V578" t="s">
        <v>1</v>
      </c>
      <c r="W578" t="s">
        <v>1</v>
      </c>
      <c r="X578" t="s">
        <v>1</v>
      </c>
      <c r="Y578" t="s">
        <v>1</v>
      </c>
      <c r="Z578" t="s">
        <v>1</v>
      </c>
      <c r="AA578" t="s">
        <v>1</v>
      </c>
      <c r="AB578" t="s">
        <v>1</v>
      </c>
      <c r="AC578" t="s">
        <v>1</v>
      </c>
      <c r="AD578" t="s">
        <v>1</v>
      </c>
      <c r="AE578" t="s">
        <v>1</v>
      </c>
      <c r="AF578" t="s">
        <v>1</v>
      </c>
      <c r="AG578" t="s">
        <v>1</v>
      </c>
      <c r="AH578" t="s">
        <v>1</v>
      </c>
      <c r="AI578" t="s">
        <v>1</v>
      </c>
      <c r="AJ578" t="s">
        <v>1</v>
      </c>
      <c r="AK578" t="s">
        <v>1</v>
      </c>
      <c r="AL578" t="s">
        <v>1</v>
      </c>
      <c r="AM578" t="s">
        <v>1</v>
      </c>
      <c r="AN578">
        <v>546</v>
      </c>
      <c r="AO578">
        <f t="shared" si="74"/>
        <v>546</v>
      </c>
      <c r="AP578">
        <f t="shared" ref="AP578:AP591" si="76">E578</f>
        <v>90</v>
      </c>
      <c r="AQ578">
        <f t="shared" si="75"/>
        <v>90</v>
      </c>
      <c r="AR578" s="26" t="s">
        <v>1355</v>
      </c>
      <c r="AS578" s="26" t="s">
        <v>1356</v>
      </c>
      <c r="AT578" t="s">
        <v>711</v>
      </c>
      <c r="AU578" t="s">
        <v>1</v>
      </c>
      <c r="AV578" t="s">
        <v>1</v>
      </c>
      <c r="AW578">
        <v>40.32</v>
      </c>
      <c r="AX578">
        <v>-3.32</v>
      </c>
      <c r="AY578" t="s">
        <v>737</v>
      </c>
      <c r="BA578" s="3">
        <v>3</v>
      </c>
      <c r="BB578" s="3"/>
      <c r="BC578" s="3"/>
      <c r="BD578" s="3"/>
      <c r="BE578" s="3"/>
      <c r="BF578">
        <v>1997</v>
      </c>
      <c r="BG578" s="24" t="s">
        <v>733</v>
      </c>
      <c r="BH578" s="24" t="s">
        <v>733</v>
      </c>
      <c r="BI578" s="24" t="s">
        <v>733</v>
      </c>
      <c r="BJ578" s="24" t="s">
        <v>732</v>
      </c>
      <c r="BK578" s="24" t="s">
        <v>733</v>
      </c>
      <c r="BL578" s="25" t="s">
        <v>733</v>
      </c>
      <c r="BM578" s="24" t="s">
        <v>733</v>
      </c>
      <c r="BN578" s="24" t="s">
        <v>732</v>
      </c>
      <c r="BO578" s="24" t="s">
        <v>733</v>
      </c>
      <c r="BP578" s="24" t="s">
        <v>733</v>
      </c>
      <c r="BQ578" s="24" t="s">
        <v>945</v>
      </c>
      <c r="BR578" s="24" t="s">
        <v>945</v>
      </c>
      <c r="BS578" s="25" t="s">
        <v>934</v>
      </c>
      <c r="BT578" s="24" t="s">
        <v>934</v>
      </c>
      <c r="BU578" s="24" t="s">
        <v>934</v>
      </c>
      <c r="BV578" s="24" t="s">
        <v>934</v>
      </c>
      <c r="BW578" s="24" t="s">
        <v>934</v>
      </c>
      <c r="BX578" s="24" t="s">
        <v>934</v>
      </c>
      <c r="BY578" s="25" t="s">
        <v>945</v>
      </c>
      <c r="BZ578" t="s">
        <v>1397</v>
      </c>
      <c r="CB578" t="s">
        <v>1390</v>
      </c>
      <c r="CC578" s="4">
        <f>AVERAGE(14268,1439,11618,1410)*86%</f>
        <v>6178.0249999999996</v>
      </c>
      <c r="CD578" s="4"/>
      <c r="CE578" s="4"/>
      <c r="CF578" t="s">
        <v>793</v>
      </c>
      <c r="CG578">
        <v>100</v>
      </c>
      <c r="CH578" t="s">
        <v>805</v>
      </c>
      <c r="CI578" s="28">
        <f>AVERAGE(1,1.15,1,1)</f>
        <v>1.0375000000000001</v>
      </c>
      <c r="CJ578" s="10" t="s">
        <v>1442</v>
      </c>
      <c r="CK578" s="9" t="s">
        <v>1</v>
      </c>
      <c r="CL578" s="4" t="s">
        <v>1</v>
      </c>
      <c r="CM578" t="s">
        <v>847</v>
      </c>
      <c r="CN578" s="4">
        <f>AVERAGE(286,43,235,60)</f>
        <v>156</v>
      </c>
      <c r="CO578" s="4" t="s">
        <v>1</v>
      </c>
      <c r="CP578" s="4" t="s">
        <v>1</v>
      </c>
      <c r="CQ578" s="4" t="s">
        <v>1</v>
      </c>
      <c r="CR578" s="4" t="s">
        <v>1</v>
      </c>
      <c r="CS578" s="4" t="s">
        <v>1</v>
      </c>
      <c r="CT578" s="4" t="s">
        <v>1</v>
      </c>
      <c r="CU578" s="4" t="s">
        <v>1</v>
      </c>
      <c r="CV578" s="38" t="s">
        <v>851</v>
      </c>
      <c r="CW578">
        <v>100</v>
      </c>
      <c r="CX578">
        <v>0</v>
      </c>
      <c r="CY578">
        <v>20</v>
      </c>
      <c r="CZ578" s="26" t="s">
        <v>1358</v>
      </c>
      <c r="DA578" t="s">
        <v>734</v>
      </c>
      <c r="DB578">
        <v>38.299999999999997</v>
      </c>
      <c r="DC578">
        <v>0</v>
      </c>
      <c r="DD578">
        <v>20</v>
      </c>
      <c r="DE578" s="26" t="s">
        <v>1358</v>
      </c>
      <c r="DF578" t="s">
        <v>735</v>
      </c>
      <c r="DG578">
        <v>47.5</v>
      </c>
      <c r="DH578">
        <v>0</v>
      </c>
      <c r="DI578">
        <v>20</v>
      </c>
      <c r="DJ578" s="26" t="s">
        <v>1358</v>
      </c>
      <c r="DK578" t="s">
        <v>736</v>
      </c>
      <c r="DL578">
        <v>14.2</v>
      </c>
      <c r="DM578">
        <v>0</v>
      </c>
      <c r="DN578">
        <v>20</v>
      </c>
      <c r="DO578" s="26" t="s">
        <v>1358</v>
      </c>
      <c r="DP578" t="s">
        <v>6</v>
      </c>
      <c r="DQ578" t="s">
        <v>813</v>
      </c>
      <c r="DR578">
        <v>8.1</v>
      </c>
      <c r="DS578">
        <v>0</v>
      </c>
      <c r="DT578">
        <v>20</v>
      </c>
      <c r="DU578" s="26" t="s">
        <v>1358</v>
      </c>
      <c r="EA578" t="s">
        <v>982</v>
      </c>
      <c r="EB578">
        <v>8.1000000000000014</v>
      </c>
      <c r="EC578">
        <v>0</v>
      </c>
      <c r="ED578">
        <v>20</v>
      </c>
      <c r="EE578" s="26" t="s">
        <v>1358</v>
      </c>
      <c r="EF578" s="26"/>
      <c r="FZ578" t="s">
        <v>806</v>
      </c>
      <c r="GA578">
        <v>394.5</v>
      </c>
      <c r="GE578" s="26" t="s">
        <v>1358</v>
      </c>
      <c r="HA578" s="5" t="s">
        <v>1</v>
      </c>
      <c r="HB578" s="4" t="s">
        <v>1</v>
      </c>
      <c r="HC578" t="s">
        <v>1</v>
      </c>
      <c r="HD578" t="s">
        <v>1</v>
      </c>
      <c r="HE578" t="s">
        <v>1</v>
      </c>
      <c r="HF578" s="5" t="s">
        <v>1</v>
      </c>
      <c r="HG578" s="4" t="s">
        <v>1</v>
      </c>
      <c r="HH578" t="s">
        <v>1</v>
      </c>
      <c r="HI578" t="s">
        <v>1</v>
      </c>
      <c r="HJ578" t="s">
        <v>1</v>
      </c>
      <c r="HK578" t="s">
        <v>815</v>
      </c>
      <c r="HL578">
        <v>1.47</v>
      </c>
      <c r="HM578">
        <v>0</v>
      </c>
      <c r="HN578">
        <v>20</v>
      </c>
      <c r="HO578" t="s">
        <v>1457</v>
      </c>
      <c r="HP578" s="26" t="s">
        <v>1358</v>
      </c>
      <c r="HZ578" t="s">
        <v>1</v>
      </c>
      <c r="IA578" t="s">
        <v>1</v>
      </c>
      <c r="IB578" s="10" t="s">
        <v>1</v>
      </c>
      <c r="IC578" s="10"/>
      <c r="ID578" s="10"/>
      <c r="IE578" s="10" t="s">
        <v>1</v>
      </c>
      <c r="IF578" s="10" t="s">
        <v>1</v>
      </c>
      <c r="IG578" s="10"/>
      <c r="IH578" s="10"/>
      <c r="II578" s="10"/>
      <c r="IJ578" s="10"/>
      <c r="IK578" s="10"/>
      <c r="IL578" s="10"/>
      <c r="IM578" s="10"/>
      <c r="IN578" s="10"/>
      <c r="IO578" s="10"/>
      <c r="IP578" s="10"/>
      <c r="IQ578" s="10"/>
      <c r="IR578" s="10"/>
      <c r="IS578" t="s">
        <v>1</v>
      </c>
      <c r="IT578" t="s">
        <v>1</v>
      </c>
      <c r="IW578" t="s">
        <v>1</v>
      </c>
      <c r="IX578" t="s">
        <v>1</v>
      </c>
      <c r="IY578" t="s">
        <v>808</v>
      </c>
      <c r="IZ578">
        <v>3350</v>
      </c>
      <c r="JA578" t="s">
        <v>1</v>
      </c>
      <c r="JB578" s="3" t="s">
        <v>1</v>
      </c>
      <c r="JC578" t="s">
        <v>1</v>
      </c>
      <c r="JD578" s="4" t="s">
        <v>1</v>
      </c>
      <c r="JE578" t="s">
        <v>1</v>
      </c>
      <c r="JF578" t="s">
        <v>1</v>
      </c>
      <c r="JR578" t="s">
        <v>1066</v>
      </c>
      <c r="JS578">
        <v>151.6</v>
      </c>
      <c r="JU578" t="s">
        <v>1</v>
      </c>
      <c r="JW578" t="s">
        <v>1</v>
      </c>
      <c r="JX578">
        <v>0</v>
      </c>
      <c r="JY578">
        <v>140</v>
      </c>
      <c r="JZ578" t="s">
        <v>800</v>
      </c>
      <c r="KA578" t="s">
        <v>674</v>
      </c>
      <c r="KB578" t="s">
        <v>738</v>
      </c>
      <c r="KC578" t="s">
        <v>1</v>
      </c>
      <c r="KD578" t="s">
        <v>1</v>
      </c>
      <c r="KE578" t="s">
        <v>1</v>
      </c>
      <c r="KF578" t="s">
        <v>1</v>
      </c>
      <c r="KG578" t="s">
        <v>1</v>
      </c>
      <c r="KH578" t="s">
        <v>1</v>
      </c>
      <c r="KI578" t="s">
        <v>1</v>
      </c>
      <c r="KJ578" t="s">
        <v>1</v>
      </c>
      <c r="KK578" t="s">
        <v>1</v>
      </c>
    </row>
    <row r="579" spans="1:297" x14ac:dyDescent="0.2">
      <c r="A579">
        <v>547</v>
      </c>
      <c r="B579" t="s">
        <v>705</v>
      </c>
      <c r="C579" t="s">
        <v>675</v>
      </c>
      <c r="D579" t="s">
        <v>696</v>
      </c>
      <c r="E579">
        <v>90</v>
      </c>
      <c r="F579" t="s">
        <v>1342</v>
      </c>
      <c r="G579" t="s">
        <v>1</v>
      </c>
      <c r="H579" s="26" t="s">
        <v>1420</v>
      </c>
      <c r="I579" t="s">
        <v>1</v>
      </c>
      <c r="J579" t="s">
        <v>1</v>
      </c>
      <c r="K579" t="s">
        <v>1</v>
      </c>
      <c r="L579" t="s">
        <v>1</v>
      </c>
      <c r="M579" t="s">
        <v>1</v>
      </c>
      <c r="N579" t="s">
        <v>1</v>
      </c>
      <c r="O579" t="s">
        <v>1</v>
      </c>
      <c r="P579" t="s">
        <v>1</v>
      </c>
      <c r="Q579" t="s">
        <v>1</v>
      </c>
      <c r="R579" t="s">
        <v>1</v>
      </c>
      <c r="S579" t="s">
        <v>1</v>
      </c>
      <c r="T579" t="s">
        <v>1</v>
      </c>
      <c r="U579" t="s">
        <v>1</v>
      </c>
      <c r="V579" t="s">
        <v>1</v>
      </c>
      <c r="W579" t="s">
        <v>1</v>
      </c>
      <c r="X579" t="s">
        <v>1</v>
      </c>
      <c r="Y579" t="s">
        <v>1</v>
      </c>
      <c r="Z579" t="s">
        <v>1</v>
      </c>
      <c r="AA579" t="s">
        <v>1</v>
      </c>
      <c r="AB579" t="s">
        <v>1</v>
      </c>
      <c r="AC579" t="s">
        <v>1</v>
      </c>
      <c r="AD579" t="s">
        <v>1</v>
      </c>
      <c r="AE579" t="s">
        <v>1</v>
      </c>
      <c r="AF579" t="s">
        <v>1</v>
      </c>
      <c r="AG579" t="s">
        <v>1</v>
      </c>
      <c r="AH579" t="s">
        <v>1</v>
      </c>
      <c r="AI579" t="s">
        <v>1</v>
      </c>
      <c r="AJ579" t="s">
        <v>1</v>
      </c>
      <c r="AK579" t="s">
        <v>1</v>
      </c>
      <c r="AL579" t="s">
        <v>1</v>
      </c>
      <c r="AM579" t="s">
        <v>1</v>
      </c>
      <c r="AN579">
        <v>547</v>
      </c>
      <c r="AO579">
        <f t="shared" si="74"/>
        <v>547</v>
      </c>
      <c r="AP579">
        <f t="shared" si="76"/>
        <v>90</v>
      </c>
      <c r="AQ579">
        <f t="shared" si="75"/>
        <v>90</v>
      </c>
      <c r="AR579" s="26" t="s">
        <v>1355</v>
      </c>
      <c r="AS579" s="26" t="s">
        <v>1356</v>
      </c>
      <c r="AT579" t="s">
        <v>711</v>
      </c>
      <c r="AU579" t="s">
        <v>1</v>
      </c>
      <c r="AV579" t="s">
        <v>1</v>
      </c>
      <c r="AW579">
        <v>40.32</v>
      </c>
      <c r="AX579">
        <v>-3.32</v>
      </c>
      <c r="AY579" t="s">
        <v>737</v>
      </c>
      <c r="BA579" s="3">
        <v>3</v>
      </c>
      <c r="BB579" s="3"/>
      <c r="BC579" s="3"/>
      <c r="BD579" s="3"/>
      <c r="BE579" s="3"/>
      <c r="BF579">
        <v>1997</v>
      </c>
      <c r="BG579" s="24" t="s">
        <v>733</v>
      </c>
      <c r="BH579" s="24" t="s">
        <v>733</v>
      </c>
      <c r="BI579" s="24" t="s">
        <v>733</v>
      </c>
      <c r="BJ579" s="24" t="s">
        <v>732</v>
      </c>
      <c r="BK579" s="24" t="s">
        <v>733</v>
      </c>
      <c r="BL579" s="25" t="s">
        <v>733</v>
      </c>
      <c r="BM579" s="24" t="s">
        <v>733</v>
      </c>
      <c r="BN579" s="24" t="s">
        <v>732</v>
      </c>
      <c r="BO579" s="24" t="s">
        <v>733</v>
      </c>
      <c r="BP579" s="24" t="s">
        <v>733</v>
      </c>
      <c r="BQ579" s="24" t="s">
        <v>945</v>
      </c>
      <c r="BR579" s="24" t="s">
        <v>945</v>
      </c>
      <c r="BS579" s="25" t="s">
        <v>934</v>
      </c>
      <c r="BT579" s="24" t="s">
        <v>934</v>
      </c>
      <c r="BU579" s="24" t="s">
        <v>934</v>
      </c>
      <c r="BV579" s="24" t="s">
        <v>934</v>
      </c>
      <c r="BW579" s="24" t="s">
        <v>934</v>
      </c>
      <c r="BX579" s="24" t="s">
        <v>934</v>
      </c>
      <c r="BY579" s="25" t="s">
        <v>945</v>
      </c>
      <c r="BZ579" t="s">
        <v>1397</v>
      </c>
      <c r="CB579" t="s">
        <v>1390</v>
      </c>
      <c r="CC579" s="4">
        <f>AVERAGE(14269,2406,12918,1668)*86%</f>
        <v>6721.1149999999998</v>
      </c>
      <c r="CD579" s="4"/>
      <c r="CE579" s="4"/>
      <c r="CF579" t="s">
        <v>793</v>
      </c>
      <c r="CG579">
        <v>100</v>
      </c>
      <c r="CH579" t="s">
        <v>805</v>
      </c>
      <c r="CI579" s="28">
        <f t="shared" ref="CI579:CI585" si="77">AVERAGE(1,1.15,1,1)</f>
        <v>1.0375000000000001</v>
      </c>
      <c r="CJ579" s="10" t="s">
        <v>1442</v>
      </c>
      <c r="CK579" s="9" t="s">
        <v>1</v>
      </c>
      <c r="CL579" s="4" t="s">
        <v>1</v>
      </c>
      <c r="CM579" t="s">
        <v>847</v>
      </c>
      <c r="CN579" s="4">
        <f>AVERAGE(285,117,322,169)</f>
        <v>223.25</v>
      </c>
      <c r="CO579" s="4" t="s">
        <v>1</v>
      </c>
      <c r="CP579" s="4" t="s">
        <v>1</v>
      </c>
      <c r="CQ579" s="4" t="s">
        <v>1</v>
      </c>
      <c r="CR579" s="4" t="s">
        <v>1</v>
      </c>
      <c r="CS579" s="4" t="s">
        <v>1</v>
      </c>
      <c r="CT579" s="4" t="s">
        <v>1</v>
      </c>
      <c r="CU579" s="4" t="s">
        <v>1</v>
      </c>
      <c r="CV579" s="38" t="s">
        <v>851</v>
      </c>
      <c r="CW579">
        <v>100</v>
      </c>
      <c r="CX579">
        <v>0</v>
      </c>
      <c r="CY579">
        <v>20</v>
      </c>
      <c r="CZ579" s="26" t="s">
        <v>1358</v>
      </c>
      <c r="DA579" t="s">
        <v>734</v>
      </c>
      <c r="DB579">
        <v>38.299999999999997</v>
      </c>
      <c r="DC579">
        <v>0</v>
      </c>
      <c r="DD579">
        <v>20</v>
      </c>
      <c r="DE579" s="26" t="s">
        <v>1358</v>
      </c>
      <c r="DF579" t="s">
        <v>735</v>
      </c>
      <c r="DG579">
        <v>47.5</v>
      </c>
      <c r="DH579">
        <v>0</v>
      </c>
      <c r="DI579">
        <v>20</v>
      </c>
      <c r="DJ579" s="26" t="s">
        <v>1358</v>
      </c>
      <c r="DK579" t="s">
        <v>736</v>
      </c>
      <c r="DL579">
        <v>14.2</v>
      </c>
      <c r="DM579">
        <v>0</v>
      </c>
      <c r="DN579">
        <v>20</v>
      </c>
      <c r="DO579" s="26" t="s">
        <v>1358</v>
      </c>
      <c r="DP579" t="s">
        <v>6</v>
      </c>
      <c r="DQ579" t="s">
        <v>813</v>
      </c>
      <c r="DR579">
        <v>8.1</v>
      </c>
      <c r="DS579">
        <v>0</v>
      </c>
      <c r="DT579">
        <v>20</v>
      </c>
      <c r="DU579" s="26" t="s">
        <v>1358</v>
      </c>
      <c r="EA579" t="s">
        <v>982</v>
      </c>
      <c r="EB579">
        <v>8.1000000000000014</v>
      </c>
      <c r="EC579">
        <v>0</v>
      </c>
      <c r="ED579">
        <v>20</v>
      </c>
      <c r="EE579" s="26" t="s">
        <v>1358</v>
      </c>
      <c r="EF579" s="26"/>
      <c r="FZ579" t="s">
        <v>806</v>
      </c>
      <c r="GA579">
        <v>394.5</v>
      </c>
      <c r="GE579" s="26" t="s">
        <v>1358</v>
      </c>
      <c r="HA579" s="5" t="s">
        <v>1</v>
      </c>
      <c r="HB579" s="4" t="s">
        <v>1</v>
      </c>
      <c r="HC579" t="s">
        <v>1</v>
      </c>
      <c r="HD579" t="s">
        <v>1</v>
      </c>
      <c r="HE579" t="s">
        <v>1</v>
      </c>
      <c r="HF579" s="5" t="s">
        <v>1</v>
      </c>
      <c r="HG579" s="4" t="s">
        <v>1</v>
      </c>
      <c r="HH579" t="s">
        <v>1</v>
      </c>
      <c r="HI579" t="s">
        <v>1</v>
      </c>
      <c r="HJ579" t="s">
        <v>1</v>
      </c>
      <c r="HK579" t="s">
        <v>815</v>
      </c>
      <c r="HL579">
        <v>1.47</v>
      </c>
      <c r="HM579">
        <v>0</v>
      </c>
      <c r="HN579">
        <v>20</v>
      </c>
      <c r="HO579" t="s">
        <v>1457</v>
      </c>
      <c r="HP579" s="26" t="s">
        <v>1358</v>
      </c>
      <c r="HZ579" t="s">
        <v>969</v>
      </c>
      <c r="IA579">
        <v>125</v>
      </c>
      <c r="IB579" s="10" t="s">
        <v>1</v>
      </c>
      <c r="IC579" s="10"/>
      <c r="ID579" s="10"/>
      <c r="IE579" s="10" t="s">
        <v>1</v>
      </c>
      <c r="IF579" s="10" t="s">
        <v>1</v>
      </c>
      <c r="IG579" s="10"/>
      <c r="IH579" s="10"/>
      <c r="II579" s="10"/>
      <c r="IJ579" s="10"/>
      <c r="IK579" s="10"/>
      <c r="IL579" s="10"/>
      <c r="IM579" s="10"/>
      <c r="IN579" s="10"/>
      <c r="IO579" s="10"/>
      <c r="IP579" s="10"/>
      <c r="IQ579" s="10"/>
      <c r="IR579" s="10"/>
      <c r="IS579" t="s">
        <v>1</v>
      </c>
      <c r="IT579" t="s">
        <v>1</v>
      </c>
      <c r="IW579" t="s">
        <v>1</v>
      </c>
      <c r="IX579" t="s">
        <v>1</v>
      </c>
      <c r="IY579" t="s">
        <v>808</v>
      </c>
      <c r="IZ579">
        <v>3350</v>
      </c>
      <c r="JA579" t="s">
        <v>1</v>
      </c>
      <c r="JB579" s="3" t="s">
        <v>1</v>
      </c>
      <c r="JC579" t="s">
        <v>1</v>
      </c>
      <c r="JD579" s="4" t="s">
        <v>1</v>
      </c>
      <c r="JE579" t="s">
        <v>1</v>
      </c>
      <c r="JF579" t="s">
        <v>1</v>
      </c>
      <c r="JR579" t="s">
        <v>1066</v>
      </c>
      <c r="JS579">
        <v>356.3</v>
      </c>
      <c r="JU579" t="s">
        <v>1</v>
      </c>
      <c r="JW579" t="s">
        <v>1</v>
      </c>
      <c r="JX579">
        <v>0</v>
      </c>
      <c r="JY579">
        <v>140</v>
      </c>
      <c r="JZ579" t="s">
        <v>800</v>
      </c>
      <c r="KA579" t="s">
        <v>674</v>
      </c>
      <c r="KB579" t="s">
        <v>738</v>
      </c>
      <c r="KC579" t="s">
        <v>1</v>
      </c>
      <c r="KD579" t="s">
        <v>1</v>
      </c>
      <c r="KE579" t="s">
        <v>1</v>
      </c>
      <c r="KF579" t="s">
        <v>1</v>
      </c>
      <c r="KG579" t="s">
        <v>1</v>
      </c>
      <c r="KH579" t="s">
        <v>1</v>
      </c>
      <c r="KI579" t="s">
        <v>1</v>
      </c>
      <c r="KJ579" t="s">
        <v>1</v>
      </c>
      <c r="KK579" t="s">
        <v>1</v>
      </c>
    </row>
    <row r="580" spans="1:297" x14ac:dyDescent="0.2">
      <c r="A580">
        <v>548</v>
      </c>
      <c r="B580" t="s">
        <v>705</v>
      </c>
      <c r="C580" t="s">
        <v>676</v>
      </c>
      <c r="D580" t="s">
        <v>696</v>
      </c>
      <c r="E580">
        <v>90</v>
      </c>
      <c r="F580" t="s">
        <v>1342</v>
      </c>
      <c r="G580" t="s">
        <v>1</v>
      </c>
      <c r="H580" s="26" t="s">
        <v>1420</v>
      </c>
      <c r="I580" t="s">
        <v>1</v>
      </c>
      <c r="J580" t="s">
        <v>1</v>
      </c>
      <c r="K580" t="s">
        <v>1</v>
      </c>
      <c r="L580" t="s">
        <v>1</v>
      </c>
      <c r="M580" t="s">
        <v>1</v>
      </c>
      <c r="N580" t="s">
        <v>1</v>
      </c>
      <c r="O580" t="s">
        <v>1</v>
      </c>
      <c r="P580" t="s">
        <v>1</v>
      </c>
      <c r="Q580" t="s">
        <v>1</v>
      </c>
      <c r="R580" t="s">
        <v>1</v>
      </c>
      <c r="S580" t="s">
        <v>1</v>
      </c>
      <c r="T580" t="s">
        <v>1</v>
      </c>
      <c r="U580" t="s">
        <v>1</v>
      </c>
      <c r="V580" t="s">
        <v>1</v>
      </c>
      <c r="W580" t="s">
        <v>1</v>
      </c>
      <c r="X580" t="s">
        <v>1</v>
      </c>
      <c r="Y580" t="s">
        <v>1</v>
      </c>
      <c r="Z580" t="s">
        <v>1</v>
      </c>
      <c r="AA580" t="s">
        <v>1</v>
      </c>
      <c r="AB580" t="s">
        <v>1</v>
      </c>
      <c r="AC580" t="s">
        <v>1</v>
      </c>
      <c r="AD580" t="s">
        <v>1</v>
      </c>
      <c r="AE580" t="s">
        <v>1</v>
      </c>
      <c r="AF580" t="s">
        <v>1</v>
      </c>
      <c r="AG580" t="s">
        <v>1</v>
      </c>
      <c r="AH580" t="s">
        <v>1</v>
      </c>
      <c r="AI580" t="s">
        <v>1</v>
      </c>
      <c r="AJ580" t="s">
        <v>1</v>
      </c>
      <c r="AK580" t="s">
        <v>1</v>
      </c>
      <c r="AL580" t="s">
        <v>1</v>
      </c>
      <c r="AM580" t="s">
        <v>1</v>
      </c>
      <c r="AN580">
        <v>548</v>
      </c>
      <c r="AO580">
        <f t="shared" si="74"/>
        <v>548</v>
      </c>
      <c r="AP580">
        <f t="shared" si="76"/>
        <v>90</v>
      </c>
      <c r="AQ580">
        <f t="shared" si="75"/>
        <v>90</v>
      </c>
      <c r="AR580" s="26" t="s">
        <v>1355</v>
      </c>
      <c r="AS580" s="26" t="s">
        <v>1356</v>
      </c>
      <c r="AT580" t="s">
        <v>711</v>
      </c>
      <c r="AU580" t="s">
        <v>1</v>
      </c>
      <c r="AV580" t="s">
        <v>1</v>
      </c>
      <c r="AW580">
        <v>40.32</v>
      </c>
      <c r="AX580">
        <v>-3.32</v>
      </c>
      <c r="AY580" t="s">
        <v>737</v>
      </c>
      <c r="BA580" s="3">
        <v>3</v>
      </c>
      <c r="BB580" s="3"/>
      <c r="BC580" s="3"/>
      <c r="BD580" s="3"/>
      <c r="BE580" s="3"/>
      <c r="BF580">
        <v>1997</v>
      </c>
      <c r="BG580" s="24" t="s">
        <v>733</v>
      </c>
      <c r="BH580" s="24" t="s">
        <v>733</v>
      </c>
      <c r="BI580" s="24" t="s">
        <v>733</v>
      </c>
      <c r="BJ580" s="24" t="s">
        <v>732</v>
      </c>
      <c r="BK580" s="24" t="s">
        <v>733</v>
      </c>
      <c r="BL580" s="25" t="s">
        <v>733</v>
      </c>
      <c r="BM580" s="24" t="s">
        <v>733</v>
      </c>
      <c r="BN580" s="24" t="s">
        <v>732</v>
      </c>
      <c r="BO580" s="24" t="s">
        <v>733</v>
      </c>
      <c r="BP580" s="24" t="s">
        <v>733</v>
      </c>
      <c r="BQ580" s="24" t="s">
        <v>945</v>
      </c>
      <c r="BR580" s="24" t="s">
        <v>945</v>
      </c>
      <c r="BS580" s="25" t="s">
        <v>934</v>
      </c>
      <c r="BT580" s="24" t="s">
        <v>934</v>
      </c>
      <c r="BU580" s="24" t="s">
        <v>934</v>
      </c>
      <c r="BV580" s="24" t="s">
        <v>934</v>
      </c>
      <c r="BW580" s="24" t="s">
        <v>934</v>
      </c>
      <c r="BX580" s="24" t="s">
        <v>934</v>
      </c>
      <c r="BY580" s="25" t="s">
        <v>945</v>
      </c>
      <c r="BZ580" t="s">
        <v>1397</v>
      </c>
      <c r="CB580" t="s">
        <v>1390</v>
      </c>
      <c r="CC580" s="4">
        <f>AVERAGE(14010,2371,9930,1694)*86%</f>
        <v>6021.0749999999998</v>
      </c>
      <c r="CD580" s="4"/>
      <c r="CE580" s="4"/>
      <c r="CF580" t="s">
        <v>793</v>
      </c>
      <c r="CG580">
        <v>100</v>
      </c>
      <c r="CH580" t="s">
        <v>805</v>
      </c>
      <c r="CI580" s="28">
        <f t="shared" si="77"/>
        <v>1.0375000000000001</v>
      </c>
      <c r="CJ580" s="10" t="s">
        <v>1442</v>
      </c>
      <c r="CK580" s="9" t="s">
        <v>1</v>
      </c>
      <c r="CL580" s="4" t="s">
        <v>1</v>
      </c>
      <c r="CM580" t="s">
        <v>847</v>
      </c>
      <c r="CN580" s="4">
        <f>AVERAGE(351,96,313,157)</f>
        <v>229.25</v>
      </c>
      <c r="CO580" s="4" t="s">
        <v>1</v>
      </c>
      <c r="CP580" s="4" t="s">
        <v>1</v>
      </c>
      <c r="CQ580" s="4" t="s">
        <v>1</v>
      </c>
      <c r="CR580" s="4" t="s">
        <v>1</v>
      </c>
      <c r="CS580" s="4" t="s">
        <v>1</v>
      </c>
      <c r="CT580" s="4" t="s">
        <v>1</v>
      </c>
      <c r="CU580" s="4" t="s">
        <v>1</v>
      </c>
      <c r="CV580" s="38" t="s">
        <v>851</v>
      </c>
      <c r="CW580">
        <v>100</v>
      </c>
      <c r="CX580">
        <v>0</v>
      </c>
      <c r="CY580">
        <v>20</v>
      </c>
      <c r="CZ580" s="26" t="s">
        <v>1358</v>
      </c>
      <c r="DA580" t="s">
        <v>734</v>
      </c>
      <c r="DB580">
        <v>38.299999999999997</v>
      </c>
      <c r="DC580">
        <v>0</v>
      </c>
      <c r="DD580">
        <v>20</v>
      </c>
      <c r="DE580" s="26" t="s">
        <v>1358</v>
      </c>
      <c r="DF580" t="s">
        <v>735</v>
      </c>
      <c r="DG580">
        <v>47.5</v>
      </c>
      <c r="DH580">
        <v>0</v>
      </c>
      <c r="DI580">
        <v>20</v>
      </c>
      <c r="DJ580" s="26" t="s">
        <v>1358</v>
      </c>
      <c r="DK580" t="s">
        <v>736</v>
      </c>
      <c r="DL580">
        <v>14.2</v>
      </c>
      <c r="DM580">
        <v>0</v>
      </c>
      <c r="DN580">
        <v>20</v>
      </c>
      <c r="DO580" s="26" t="s">
        <v>1358</v>
      </c>
      <c r="DP580" t="s">
        <v>6</v>
      </c>
      <c r="DQ580" t="s">
        <v>813</v>
      </c>
      <c r="DR580">
        <v>8.1</v>
      </c>
      <c r="DS580">
        <v>0</v>
      </c>
      <c r="DT580">
        <v>20</v>
      </c>
      <c r="DU580" s="26" t="s">
        <v>1358</v>
      </c>
      <c r="EA580" t="s">
        <v>982</v>
      </c>
      <c r="EB580">
        <v>8.1000000000000014</v>
      </c>
      <c r="EC580">
        <v>0</v>
      </c>
      <c r="ED580">
        <v>20</v>
      </c>
      <c r="EE580" s="26" t="s">
        <v>1358</v>
      </c>
      <c r="EF580" s="26"/>
      <c r="FZ580" t="s">
        <v>806</v>
      </c>
      <c r="GA580">
        <v>394.5</v>
      </c>
      <c r="GE580" s="26" t="s">
        <v>1358</v>
      </c>
      <c r="HA580" s="5" t="s">
        <v>1</v>
      </c>
      <c r="HB580" s="4" t="s">
        <v>1</v>
      </c>
      <c r="HC580" t="s">
        <v>1</v>
      </c>
      <c r="HD580" t="s">
        <v>1</v>
      </c>
      <c r="HE580" t="s">
        <v>1</v>
      </c>
      <c r="HF580" s="5" t="s">
        <v>1</v>
      </c>
      <c r="HG580" s="4" t="s">
        <v>1</v>
      </c>
      <c r="HH580" t="s">
        <v>1</v>
      </c>
      <c r="HI580" t="s">
        <v>1</v>
      </c>
      <c r="HJ580" t="s">
        <v>1</v>
      </c>
      <c r="HK580" t="s">
        <v>815</v>
      </c>
      <c r="HL580">
        <v>1.47</v>
      </c>
      <c r="HM580">
        <v>0</v>
      </c>
      <c r="HN580">
        <v>20</v>
      </c>
      <c r="HO580" t="s">
        <v>1457</v>
      </c>
      <c r="HP580" s="26" t="s">
        <v>1358</v>
      </c>
      <c r="HZ580" t="s">
        <v>1295</v>
      </c>
      <c r="IA580">
        <v>125</v>
      </c>
      <c r="IB580" s="10" t="s">
        <v>841</v>
      </c>
      <c r="IC580" s="10"/>
      <c r="ID580" s="10"/>
      <c r="IE580" s="10" t="s">
        <v>1312</v>
      </c>
      <c r="IF580" s="10" t="b">
        <v>1</v>
      </c>
      <c r="IG580" s="10"/>
      <c r="IH580" s="10"/>
      <c r="II580" s="10"/>
      <c r="IJ580" s="10"/>
      <c r="IK580" s="10"/>
      <c r="IL580" s="10"/>
      <c r="IM580" s="10"/>
      <c r="IN580" s="10"/>
      <c r="IO580" s="10"/>
      <c r="IP580" s="10"/>
      <c r="IQ580" s="10"/>
      <c r="IR580" s="10"/>
      <c r="IS580" t="s">
        <v>1</v>
      </c>
      <c r="IT580" t="s">
        <v>1</v>
      </c>
      <c r="IW580" t="s">
        <v>1</v>
      </c>
      <c r="IX580" t="s">
        <v>1</v>
      </c>
      <c r="IY580" t="s">
        <v>808</v>
      </c>
      <c r="IZ580">
        <v>3350</v>
      </c>
      <c r="JA580" t="s">
        <v>1</v>
      </c>
      <c r="JB580" s="3" t="s">
        <v>1</v>
      </c>
      <c r="JC580" t="s">
        <v>1</v>
      </c>
      <c r="JD580" s="4" t="s">
        <v>1</v>
      </c>
      <c r="JE580" t="s">
        <v>1</v>
      </c>
      <c r="JF580" t="s">
        <v>1</v>
      </c>
      <c r="JR580" t="s">
        <v>1066</v>
      </c>
      <c r="JS580">
        <v>322</v>
      </c>
      <c r="JU580" t="s">
        <v>1</v>
      </c>
      <c r="JW580" t="s">
        <v>1</v>
      </c>
      <c r="JX580">
        <v>0</v>
      </c>
      <c r="JY580">
        <v>140</v>
      </c>
      <c r="JZ580" t="s">
        <v>800</v>
      </c>
      <c r="KA580" t="s">
        <v>674</v>
      </c>
      <c r="KB580" t="s">
        <v>738</v>
      </c>
      <c r="KC580" t="s">
        <v>1</v>
      </c>
      <c r="KD580" t="s">
        <v>1</v>
      </c>
      <c r="KE580" t="s">
        <v>1</v>
      </c>
      <c r="KF580" t="s">
        <v>1</v>
      </c>
      <c r="KG580" t="s">
        <v>1</v>
      </c>
      <c r="KH580" t="s">
        <v>1</v>
      </c>
      <c r="KI580" t="s">
        <v>1</v>
      </c>
      <c r="KJ580" t="s">
        <v>1</v>
      </c>
      <c r="KK580" t="s">
        <v>1</v>
      </c>
    </row>
    <row r="581" spans="1:297" x14ac:dyDescent="0.2">
      <c r="A581">
        <v>549</v>
      </c>
      <c r="B581" t="s">
        <v>705</v>
      </c>
      <c r="C581" t="s">
        <v>677</v>
      </c>
      <c r="D581" t="s">
        <v>696</v>
      </c>
      <c r="E581">
        <v>90</v>
      </c>
      <c r="F581" t="s">
        <v>1342</v>
      </c>
      <c r="G581" t="s">
        <v>1</v>
      </c>
      <c r="H581" s="26" t="s">
        <v>1420</v>
      </c>
      <c r="I581" t="s">
        <v>1</v>
      </c>
      <c r="J581" t="s">
        <v>1</v>
      </c>
      <c r="K581" t="s">
        <v>1</v>
      </c>
      <c r="L581" t="s">
        <v>1</v>
      </c>
      <c r="M581" t="s">
        <v>1</v>
      </c>
      <c r="N581" t="s">
        <v>1</v>
      </c>
      <c r="O581" t="s">
        <v>1</v>
      </c>
      <c r="P581" t="s">
        <v>1</v>
      </c>
      <c r="Q581" t="s">
        <v>1</v>
      </c>
      <c r="R581" t="s">
        <v>1</v>
      </c>
      <c r="S581" t="s">
        <v>1</v>
      </c>
      <c r="T581" t="s">
        <v>1</v>
      </c>
      <c r="U581" t="s">
        <v>1</v>
      </c>
      <c r="V581" t="s">
        <v>1</v>
      </c>
      <c r="W581" t="s">
        <v>1</v>
      </c>
      <c r="X581" t="s">
        <v>1</v>
      </c>
      <c r="Y581" t="s">
        <v>1</v>
      </c>
      <c r="Z581" t="s">
        <v>1</v>
      </c>
      <c r="AA581" t="s">
        <v>1</v>
      </c>
      <c r="AB581" t="s">
        <v>1</v>
      </c>
      <c r="AC581" t="s">
        <v>1</v>
      </c>
      <c r="AD581" t="s">
        <v>1</v>
      </c>
      <c r="AE581" t="s">
        <v>1</v>
      </c>
      <c r="AF581" t="s">
        <v>1</v>
      </c>
      <c r="AG581" t="s">
        <v>1</v>
      </c>
      <c r="AH581" t="s">
        <v>1</v>
      </c>
      <c r="AI581" t="s">
        <v>1</v>
      </c>
      <c r="AJ581" t="s">
        <v>1</v>
      </c>
      <c r="AK581" t="s">
        <v>1</v>
      </c>
      <c r="AL581" t="s">
        <v>1</v>
      </c>
      <c r="AM581" t="s">
        <v>1</v>
      </c>
      <c r="AN581">
        <v>549</v>
      </c>
      <c r="AO581">
        <f t="shared" si="74"/>
        <v>549</v>
      </c>
      <c r="AP581">
        <f t="shared" si="76"/>
        <v>90</v>
      </c>
      <c r="AQ581">
        <f t="shared" si="75"/>
        <v>90</v>
      </c>
      <c r="AR581" s="26" t="s">
        <v>1355</v>
      </c>
      <c r="AS581" s="26" t="s">
        <v>1356</v>
      </c>
      <c r="AT581" t="s">
        <v>711</v>
      </c>
      <c r="AU581" t="s">
        <v>1</v>
      </c>
      <c r="AV581" t="s">
        <v>1</v>
      </c>
      <c r="AW581">
        <v>40.32</v>
      </c>
      <c r="AX581">
        <v>-3.32</v>
      </c>
      <c r="AY581" t="s">
        <v>737</v>
      </c>
      <c r="BA581" s="3">
        <v>3</v>
      </c>
      <c r="BB581" s="3"/>
      <c r="BC581" s="3"/>
      <c r="BD581" s="3"/>
      <c r="BE581" s="3"/>
      <c r="BF581">
        <v>1997</v>
      </c>
      <c r="BG581" s="24" t="s">
        <v>733</v>
      </c>
      <c r="BH581" s="24" t="s">
        <v>733</v>
      </c>
      <c r="BI581" s="24" t="s">
        <v>733</v>
      </c>
      <c r="BJ581" s="24" t="s">
        <v>732</v>
      </c>
      <c r="BK581" s="24" t="s">
        <v>733</v>
      </c>
      <c r="BL581" s="25" t="s">
        <v>733</v>
      </c>
      <c r="BM581" s="24" t="s">
        <v>733</v>
      </c>
      <c r="BN581" s="24" t="s">
        <v>732</v>
      </c>
      <c r="BO581" s="24" t="s">
        <v>733</v>
      </c>
      <c r="BP581" s="24" t="s">
        <v>733</v>
      </c>
      <c r="BQ581" s="24" t="s">
        <v>945</v>
      </c>
      <c r="BR581" s="24" t="s">
        <v>945</v>
      </c>
      <c r="BS581" s="25" t="s">
        <v>934</v>
      </c>
      <c r="BT581" s="24" t="s">
        <v>934</v>
      </c>
      <c r="BU581" s="24" t="s">
        <v>934</v>
      </c>
      <c r="BV581" s="24" t="s">
        <v>934</v>
      </c>
      <c r="BW581" s="24" t="s">
        <v>934</v>
      </c>
      <c r="BX581" s="24" t="s">
        <v>934</v>
      </c>
      <c r="BY581" s="25" t="s">
        <v>945</v>
      </c>
      <c r="BZ581" t="s">
        <v>1397</v>
      </c>
      <c r="CB581" t="s">
        <v>1390</v>
      </c>
      <c r="CC581" s="4">
        <f>AVERAGE(14015,1757,13278,1704)*86%</f>
        <v>6612.11</v>
      </c>
      <c r="CD581" s="4"/>
      <c r="CE581" s="4"/>
      <c r="CF581" t="s">
        <v>793</v>
      </c>
      <c r="CG581">
        <v>100</v>
      </c>
      <c r="CH581" t="s">
        <v>805</v>
      </c>
      <c r="CI581" s="28">
        <f t="shared" si="77"/>
        <v>1.0375000000000001</v>
      </c>
      <c r="CJ581" s="10" t="s">
        <v>1442</v>
      </c>
      <c r="CK581" s="9" t="s">
        <v>1</v>
      </c>
      <c r="CL581" s="4" t="s">
        <v>1</v>
      </c>
      <c r="CM581" t="s">
        <v>847</v>
      </c>
      <c r="CN581" s="4">
        <f>AVERAGE(284,63,309,104)</f>
        <v>190</v>
      </c>
      <c r="CO581" s="4" t="s">
        <v>1</v>
      </c>
      <c r="CP581" s="4" t="s">
        <v>1</v>
      </c>
      <c r="CQ581" s="4" t="s">
        <v>1</v>
      </c>
      <c r="CR581" s="4" t="s">
        <v>1</v>
      </c>
      <c r="CS581" s="4" t="s">
        <v>1</v>
      </c>
      <c r="CT581" s="4" t="s">
        <v>1</v>
      </c>
      <c r="CU581" s="4" t="s">
        <v>1</v>
      </c>
      <c r="CV581" s="38" t="s">
        <v>851</v>
      </c>
      <c r="CW581">
        <v>100</v>
      </c>
      <c r="CX581">
        <v>0</v>
      </c>
      <c r="CY581">
        <v>20</v>
      </c>
      <c r="CZ581" s="26" t="s">
        <v>1358</v>
      </c>
      <c r="DA581" t="s">
        <v>734</v>
      </c>
      <c r="DB581">
        <v>38.299999999999997</v>
      </c>
      <c r="DC581">
        <v>0</v>
      </c>
      <c r="DD581">
        <v>20</v>
      </c>
      <c r="DE581" s="26" t="s">
        <v>1358</v>
      </c>
      <c r="DF581" t="s">
        <v>735</v>
      </c>
      <c r="DG581">
        <v>47.5</v>
      </c>
      <c r="DH581">
        <v>0</v>
      </c>
      <c r="DI581">
        <v>20</v>
      </c>
      <c r="DJ581" s="26" t="s">
        <v>1358</v>
      </c>
      <c r="DK581" t="s">
        <v>736</v>
      </c>
      <c r="DL581">
        <v>14.2</v>
      </c>
      <c r="DM581">
        <v>0</v>
      </c>
      <c r="DN581">
        <v>20</v>
      </c>
      <c r="DO581" s="26" t="s">
        <v>1358</v>
      </c>
      <c r="DP581" t="s">
        <v>6</v>
      </c>
      <c r="DQ581" t="s">
        <v>813</v>
      </c>
      <c r="DR581">
        <v>8.1</v>
      </c>
      <c r="DS581">
        <v>0</v>
      </c>
      <c r="DT581">
        <v>20</v>
      </c>
      <c r="DU581" s="26" t="s">
        <v>1358</v>
      </c>
      <c r="EA581" t="s">
        <v>982</v>
      </c>
      <c r="EB581">
        <v>8.1000000000000014</v>
      </c>
      <c r="EC581">
        <v>0</v>
      </c>
      <c r="ED581">
        <v>20</v>
      </c>
      <c r="EE581" s="26" t="s">
        <v>1358</v>
      </c>
      <c r="EF581" s="26"/>
      <c r="FZ581" t="s">
        <v>806</v>
      </c>
      <c r="GA581">
        <v>394.5</v>
      </c>
      <c r="GE581" s="26" t="s">
        <v>1358</v>
      </c>
      <c r="HA581" s="5" t="s">
        <v>1</v>
      </c>
      <c r="HB581" s="4" t="s">
        <v>1</v>
      </c>
      <c r="HC581" t="s">
        <v>1</v>
      </c>
      <c r="HD581" t="s">
        <v>1</v>
      </c>
      <c r="HE581" t="s">
        <v>1</v>
      </c>
      <c r="HF581" s="5" t="s">
        <v>1</v>
      </c>
      <c r="HG581" s="4" t="s">
        <v>1</v>
      </c>
      <c r="HH581" t="s">
        <v>1</v>
      </c>
      <c r="HI581" t="s">
        <v>1</v>
      </c>
      <c r="HJ581" t="s">
        <v>1</v>
      </c>
      <c r="HK581" t="s">
        <v>815</v>
      </c>
      <c r="HL581">
        <v>1.47</v>
      </c>
      <c r="HM581">
        <v>0</v>
      </c>
      <c r="HN581">
        <v>20</v>
      </c>
      <c r="HO581" t="s">
        <v>1457</v>
      </c>
      <c r="HP581" s="26" t="s">
        <v>1358</v>
      </c>
      <c r="HZ581" t="s">
        <v>1</v>
      </c>
      <c r="IA581" t="s">
        <v>1</v>
      </c>
      <c r="IB581" s="10" t="s">
        <v>1</v>
      </c>
      <c r="IC581" s="10"/>
      <c r="ID581" s="10"/>
      <c r="IE581" s="10" t="s">
        <v>1</v>
      </c>
      <c r="IF581" s="10" t="s">
        <v>1</v>
      </c>
      <c r="IG581" s="10"/>
      <c r="IH581" s="10"/>
      <c r="II581" s="10"/>
      <c r="IJ581" s="10"/>
      <c r="IK581" s="10"/>
      <c r="IL581" s="10"/>
      <c r="IM581" s="10"/>
      <c r="IN581" s="10"/>
      <c r="IO581" s="10"/>
      <c r="IP581" s="10"/>
      <c r="IQ581" s="10"/>
      <c r="IR581" s="10"/>
      <c r="IS581" t="s">
        <v>978</v>
      </c>
      <c r="IT581">
        <v>75</v>
      </c>
      <c r="IW581" t="s">
        <v>1</v>
      </c>
      <c r="IX581" t="s">
        <v>1</v>
      </c>
      <c r="IY581" t="s">
        <v>808</v>
      </c>
      <c r="IZ581">
        <v>3350</v>
      </c>
      <c r="JA581" t="s">
        <v>1</v>
      </c>
      <c r="JB581" s="3" t="s">
        <v>1</v>
      </c>
      <c r="JC581" t="s">
        <v>1</v>
      </c>
      <c r="JD581" s="4" t="s">
        <v>1</v>
      </c>
      <c r="JE581" t="s">
        <v>1</v>
      </c>
      <c r="JF581" t="s">
        <v>1</v>
      </c>
      <c r="JR581" t="s">
        <v>1066</v>
      </c>
      <c r="JS581">
        <v>299.89999999999998</v>
      </c>
      <c r="JU581" t="s">
        <v>1</v>
      </c>
      <c r="JW581" t="s">
        <v>1</v>
      </c>
      <c r="JX581">
        <v>0</v>
      </c>
      <c r="JY581">
        <v>140</v>
      </c>
      <c r="JZ581" t="s">
        <v>800</v>
      </c>
      <c r="KA581" t="s">
        <v>674</v>
      </c>
      <c r="KB581" t="s">
        <v>738</v>
      </c>
      <c r="KC581" t="s">
        <v>1</v>
      </c>
      <c r="KD581" t="s">
        <v>1</v>
      </c>
      <c r="KE581" t="s">
        <v>1</v>
      </c>
      <c r="KF581" t="s">
        <v>1</v>
      </c>
      <c r="KG581" t="s">
        <v>1</v>
      </c>
      <c r="KH581" t="s">
        <v>1</v>
      </c>
      <c r="KI581" t="s">
        <v>1</v>
      </c>
      <c r="KJ581" t="s">
        <v>1</v>
      </c>
      <c r="KK581" t="s">
        <v>1</v>
      </c>
    </row>
    <row r="582" spans="1:297" x14ac:dyDescent="0.2">
      <c r="A582">
        <v>550</v>
      </c>
      <c r="B582" t="s">
        <v>705</v>
      </c>
      <c r="C582" t="s">
        <v>678</v>
      </c>
      <c r="D582" t="s">
        <v>696</v>
      </c>
      <c r="E582">
        <v>90</v>
      </c>
      <c r="F582" t="s">
        <v>1342</v>
      </c>
      <c r="G582" t="s">
        <v>1</v>
      </c>
      <c r="H582" s="26" t="s">
        <v>1420</v>
      </c>
      <c r="I582" t="s">
        <v>1</v>
      </c>
      <c r="J582" t="s">
        <v>1</v>
      </c>
      <c r="K582" t="s">
        <v>1</v>
      </c>
      <c r="L582" t="s">
        <v>1</v>
      </c>
      <c r="M582" t="s">
        <v>1</v>
      </c>
      <c r="N582" t="s">
        <v>1</v>
      </c>
      <c r="O582" t="s">
        <v>1</v>
      </c>
      <c r="P582" t="s">
        <v>1</v>
      </c>
      <c r="Q582" t="s">
        <v>1</v>
      </c>
      <c r="R582" t="s">
        <v>1</v>
      </c>
      <c r="S582" t="s">
        <v>1</v>
      </c>
      <c r="T582" t="s">
        <v>1</v>
      </c>
      <c r="U582" t="s">
        <v>1</v>
      </c>
      <c r="V582" t="s">
        <v>1</v>
      </c>
      <c r="W582" t="s">
        <v>1</v>
      </c>
      <c r="X582" t="s">
        <v>1</v>
      </c>
      <c r="Y582" t="s">
        <v>1</v>
      </c>
      <c r="Z582" t="s">
        <v>1</v>
      </c>
      <c r="AA582" t="s">
        <v>1</v>
      </c>
      <c r="AB582" t="s">
        <v>1</v>
      </c>
      <c r="AC582" t="s">
        <v>1</v>
      </c>
      <c r="AD582" t="s">
        <v>1</v>
      </c>
      <c r="AE582" t="s">
        <v>1</v>
      </c>
      <c r="AF582" t="s">
        <v>1</v>
      </c>
      <c r="AG582" t="s">
        <v>1</v>
      </c>
      <c r="AH582" t="s">
        <v>1</v>
      </c>
      <c r="AI582" t="s">
        <v>1</v>
      </c>
      <c r="AJ582" t="s">
        <v>1</v>
      </c>
      <c r="AK582" t="s">
        <v>1</v>
      </c>
      <c r="AL582" t="s">
        <v>1</v>
      </c>
      <c r="AM582" t="s">
        <v>1</v>
      </c>
      <c r="AN582">
        <v>550</v>
      </c>
      <c r="AO582">
        <f t="shared" si="74"/>
        <v>550</v>
      </c>
      <c r="AP582">
        <f t="shared" si="76"/>
        <v>90</v>
      </c>
      <c r="AQ582">
        <f t="shared" si="75"/>
        <v>90</v>
      </c>
      <c r="AR582" s="26" t="s">
        <v>1355</v>
      </c>
      <c r="AS582" s="26" t="s">
        <v>1356</v>
      </c>
      <c r="AT582" t="s">
        <v>711</v>
      </c>
      <c r="AU582" t="s">
        <v>1</v>
      </c>
      <c r="AV582" t="s">
        <v>1</v>
      </c>
      <c r="AW582">
        <v>40.32</v>
      </c>
      <c r="AX582">
        <v>-3.32</v>
      </c>
      <c r="AY582" t="s">
        <v>737</v>
      </c>
      <c r="BA582" s="3">
        <v>3</v>
      </c>
      <c r="BB582" s="3"/>
      <c r="BC582" s="3"/>
      <c r="BD582" s="3"/>
      <c r="BE582" s="3"/>
      <c r="BF582">
        <v>1997</v>
      </c>
      <c r="BG582" s="24" t="s">
        <v>733</v>
      </c>
      <c r="BH582" s="24" t="s">
        <v>733</v>
      </c>
      <c r="BI582" s="24" t="s">
        <v>733</v>
      </c>
      <c r="BJ582" s="24" t="s">
        <v>732</v>
      </c>
      <c r="BK582" s="24" t="s">
        <v>733</v>
      </c>
      <c r="BL582" s="25" t="s">
        <v>733</v>
      </c>
      <c r="BM582" s="24" t="s">
        <v>733</v>
      </c>
      <c r="BN582" s="24" t="s">
        <v>732</v>
      </c>
      <c r="BO582" s="24" t="s">
        <v>733</v>
      </c>
      <c r="BP582" s="24" t="s">
        <v>733</v>
      </c>
      <c r="BQ582" s="24" t="s">
        <v>945</v>
      </c>
      <c r="BR582" s="24" t="s">
        <v>945</v>
      </c>
      <c r="BS582" s="25" t="s">
        <v>934</v>
      </c>
      <c r="BT582" s="24" t="s">
        <v>934</v>
      </c>
      <c r="BU582" s="24" t="s">
        <v>934</v>
      </c>
      <c r="BV582" s="24" t="s">
        <v>934</v>
      </c>
      <c r="BW582" s="24" t="s">
        <v>934</v>
      </c>
      <c r="BX582" s="24" t="s">
        <v>934</v>
      </c>
      <c r="BY582" s="25" t="s">
        <v>945</v>
      </c>
      <c r="BZ582" t="s">
        <v>1397</v>
      </c>
      <c r="CB582" t="s">
        <v>1390</v>
      </c>
      <c r="CC582" s="4">
        <f>AVERAGE(12927,1795,11835,1826)*86%</f>
        <v>6102.3450000000003</v>
      </c>
      <c r="CD582" s="4"/>
      <c r="CE582" s="4"/>
      <c r="CF582" t="s">
        <v>793</v>
      </c>
      <c r="CG582">
        <v>100</v>
      </c>
      <c r="CH582" t="s">
        <v>805</v>
      </c>
      <c r="CI582" s="28">
        <f t="shared" si="77"/>
        <v>1.0375000000000001</v>
      </c>
      <c r="CJ582" s="10" t="s">
        <v>1442</v>
      </c>
      <c r="CK582" s="9" t="s">
        <v>1</v>
      </c>
      <c r="CL582" s="4" t="s">
        <v>1</v>
      </c>
      <c r="CM582" t="s">
        <v>847</v>
      </c>
      <c r="CN582" s="4">
        <f>AVERAGE(199,59,232,72)</f>
        <v>140.5</v>
      </c>
      <c r="CO582" s="4" t="s">
        <v>1</v>
      </c>
      <c r="CP582" s="4" t="s">
        <v>1</v>
      </c>
      <c r="CQ582" s="4" t="s">
        <v>1</v>
      </c>
      <c r="CR582" s="4" t="s">
        <v>1</v>
      </c>
      <c r="CS582" s="4" t="s">
        <v>1</v>
      </c>
      <c r="CT582" s="4" t="s">
        <v>1</v>
      </c>
      <c r="CU582" s="4" t="s">
        <v>1</v>
      </c>
      <c r="CV582" s="38" t="s">
        <v>851</v>
      </c>
      <c r="CW582">
        <v>100</v>
      </c>
      <c r="CX582">
        <v>0</v>
      </c>
      <c r="CY582">
        <v>20</v>
      </c>
      <c r="CZ582" s="26" t="s">
        <v>1358</v>
      </c>
      <c r="DA582" t="s">
        <v>734</v>
      </c>
      <c r="DB582">
        <v>38.299999999999997</v>
      </c>
      <c r="DC582">
        <v>0</v>
      </c>
      <c r="DD582">
        <v>20</v>
      </c>
      <c r="DE582" s="26" t="s">
        <v>1358</v>
      </c>
      <c r="DF582" t="s">
        <v>735</v>
      </c>
      <c r="DG582">
        <v>47.5</v>
      </c>
      <c r="DH582">
        <v>0</v>
      </c>
      <c r="DI582">
        <v>20</v>
      </c>
      <c r="DJ582" s="26" t="s">
        <v>1358</v>
      </c>
      <c r="DK582" t="s">
        <v>736</v>
      </c>
      <c r="DL582">
        <v>14.2</v>
      </c>
      <c r="DM582">
        <v>0</v>
      </c>
      <c r="DN582">
        <v>20</v>
      </c>
      <c r="DO582" s="26" t="s">
        <v>1358</v>
      </c>
      <c r="DP582" t="s">
        <v>6</v>
      </c>
      <c r="DQ582" t="s">
        <v>813</v>
      </c>
      <c r="DR582">
        <v>8.1</v>
      </c>
      <c r="DS582">
        <v>0</v>
      </c>
      <c r="DT582">
        <v>20</v>
      </c>
      <c r="DU582" s="26" t="s">
        <v>1358</v>
      </c>
      <c r="EA582" t="s">
        <v>982</v>
      </c>
      <c r="EB582">
        <v>8.1000000000000014</v>
      </c>
      <c r="EC582">
        <v>0</v>
      </c>
      <c r="ED582">
        <v>20</v>
      </c>
      <c r="EE582" s="26" t="s">
        <v>1358</v>
      </c>
      <c r="EF582" s="26"/>
      <c r="FZ582" t="s">
        <v>806</v>
      </c>
      <c r="GA582">
        <v>394.5</v>
      </c>
      <c r="GE582" s="26" t="s">
        <v>1358</v>
      </c>
      <c r="HA582" s="5" t="s">
        <v>1</v>
      </c>
      <c r="HB582" s="4" t="s">
        <v>1</v>
      </c>
      <c r="HC582" t="s">
        <v>1</v>
      </c>
      <c r="HD582" t="s">
        <v>1</v>
      </c>
      <c r="HE582" t="s">
        <v>1</v>
      </c>
      <c r="HF582" s="5" t="s">
        <v>1</v>
      </c>
      <c r="HG582" s="4" t="s">
        <v>1</v>
      </c>
      <c r="HH582" t="s">
        <v>1</v>
      </c>
      <c r="HI582" t="s">
        <v>1</v>
      </c>
      <c r="HJ582" t="s">
        <v>1</v>
      </c>
      <c r="HK582" t="s">
        <v>815</v>
      </c>
      <c r="HL582">
        <v>1.47</v>
      </c>
      <c r="HM582">
        <v>0</v>
      </c>
      <c r="HN582">
        <v>20</v>
      </c>
      <c r="HO582" t="s">
        <v>1457</v>
      </c>
      <c r="HP582" s="26" t="s">
        <v>1358</v>
      </c>
      <c r="HZ582" t="s">
        <v>1</v>
      </c>
      <c r="IA582" t="s">
        <v>1</v>
      </c>
      <c r="IB582" s="10" t="s">
        <v>1</v>
      </c>
      <c r="IC582" s="10"/>
      <c r="ID582" s="10"/>
      <c r="IE582" s="10" t="s">
        <v>1</v>
      </c>
      <c r="IF582" s="10" t="s">
        <v>1</v>
      </c>
      <c r="IG582" s="10"/>
      <c r="IH582" s="10"/>
      <c r="II582" s="10"/>
      <c r="IJ582" s="10"/>
      <c r="IK582" s="10"/>
      <c r="IL582" s="10"/>
      <c r="IM582" s="10"/>
      <c r="IN582" s="10"/>
      <c r="IO582" s="10"/>
      <c r="IP582" s="10"/>
      <c r="IQ582" s="10"/>
      <c r="IR582" s="10"/>
      <c r="IS582" t="s">
        <v>1</v>
      </c>
      <c r="IT582" t="s">
        <v>1</v>
      </c>
      <c r="IW582" t="s">
        <v>1</v>
      </c>
      <c r="IX582" t="s">
        <v>1</v>
      </c>
      <c r="IY582" t="s">
        <v>808</v>
      </c>
      <c r="IZ582">
        <v>2925</v>
      </c>
      <c r="JA582" t="s">
        <v>1</v>
      </c>
      <c r="JB582" s="3" t="s">
        <v>1</v>
      </c>
      <c r="JC582" t="s">
        <v>1</v>
      </c>
      <c r="JD582" s="4" t="s">
        <v>1</v>
      </c>
      <c r="JE582" t="s">
        <v>1</v>
      </c>
      <c r="JF582" t="s">
        <v>1</v>
      </c>
      <c r="JR582" t="s">
        <v>1066</v>
      </c>
      <c r="JS582">
        <v>73</v>
      </c>
      <c r="JU582" t="s">
        <v>1</v>
      </c>
      <c r="JW582" t="s">
        <v>1</v>
      </c>
      <c r="JX582">
        <v>0</v>
      </c>
      <c r="JY582">
        <v>140</v>
      </c>
      <c r="JZ582" t="s">
        <v>800</v>
      </c>
      <c r="KA582" t="s">
        <v>674</v>
      </c>
      <c r="KB582" t="s">
        <v>738</v>
      </c>
      <c r="KC582" t="s">
        <v>1</v>
      </c>
      <c r="KD582" t="s">
        <v>1</v>
      </c>
      <c r="KE582" t="s">
        <v>1</v>
      </c>
      <c r="KF582" t="s">
        <v>1</v>
      </c>
      <c r="KG582" t="s">
        <v>1</v>
      </c>
      <c r="KH582" t="s">
        <v>1</v>
      </c>
      <c r="KI582" t="s">
        <v>1</v>
      </c>
      <c r="KJ582" t="s">
        <v>1</v>
      </c>
      <c r="KK582" t="s">
        <v>1</v>
      </c>
    </row>
    <row r="583" spans="1:297" x14ac:dyDescent="0.2">
      <c r="A583">
        <v>551</v>
      </c>
      <c r="B583" t="s">
        <v>705</v>
      </c>
      <c r="C583" t="s">
        <v>679</v>
      </c>
      <c r="D583" t="s">
        <v>696</v>
      </c>
      <c r="E583">
        <v>90</v>
      </c>
      <c r="F583" t="s">
        <v>1342</v>
      </c>
      <c r="G583" t="s">
        <v>1</v>
      </c>
      <c r="H583" s="26" t="s">
        <v>1420</v>
      </c>
      <c r="I583" t="s">
        <v>1</v>
      </c>
      <c r="J583" t="s">
        <v>1</v>
      </c>
      <c r="K583" t="s">
        <v>1</v>
      </c>
      <c r="L583" t="s">
        <v>1</v>
      </c>
      <c r="M583" t="s">
        <v>1</v>
      </c>
      <c r="N583" t="s">
        <v>1</v>
      </c>
      <c r="O583" t="s">
        <v>1</v>
      </c>
      <c r="P583" t="s">
        <v>1</v>
      </c>
      <c r="Q583" t="s">
        <v>1</v>
      </c>
      <c r="R583" t="s">
        <v>1</v>
      </c>
      <c r="S583" t="s">
        <v>1</v>
      </c>
      <c r="T583" t="s">
        <v>1</v>
      </c>
      <c r="U583" t="s">
        <v>1</v>
      </c>
      <c r="V583" t="s">
        <v>1</v>
      </c>
      <c r="W583" t="s">
        <v>1</v>
      </c>
      <c r="X583" t="s">
        <v>1</v>
      </c>
      <c r="Y583" t="s">
        <v>1</v>
      </c>
      <c r="Z583" t="s">
        <v>1</v>
      </c>
      <c r="AA583" t="s">
        <v>1</v>
      </c>
      <c r="AB583" t="s">
        <v>1</v>
      </c>
      <c r="AC583" t="s">
        <v>1</v>
      </c>
      <c r="AD583" t="s">
        <v>1</v>
      </c>
      <c r="AE583" t="s">
        <v>1</v>
      </c>
      <c r="AF583" t="s">
        <v>1</v>
      </c>
      <c r="AG583" t="s">
        <v>1</v>
      </c>
      <c r="AH583" t="s">
        <v>1</v>
      </c>
      <c r="AI583" t="s">
        <v>1</v>
      </c>
      <c r="AJ583" t="s">
        <v>1</v>
      </c>
      <c r="AK583" t="s">
        <v>1</v>
      </c>
      <c r="AL583" t="s">
        <v>1</v>
      </c>
      <c r="AM583" t="s">
        <v>1</v>
      </c>
      <c r="AN583">
        <v>551</v>
      </c>
      <c r="AO583">
        <f t="shared" si="74"/>
        <v>551</v>
      </c>
      <c r="AP583">
        <f t="shared" si="76"/>
        <v>90</v>
      </c>
      <c r="AQ583">
        <f t="shared" si="75"/>
        <v>90</v>
      </c>
      <c r="AR583" s="26" t="s">
        <v>1355</v>
      </c>
      <c r="AS583" s="26" t="s">
        <v>1356</v>
      </c>
      <c r="AT583" t="s">
        <v>711</v>
      </c>
      <c r="AU583" t="s">
        <v>1</v>
      </c>
      <c r="AV583" t="s">
        <v>1</v>
      </c>
      <c r="AW583">
        <v>40.32</v>
      </c>
      <c r="AX583">
        <v>-3.32</v>
      </c>
      <c r="AY583" t="s">
        <v>737</v>
      </c>
      <c r="BA583" s="3">
        <v>3</v>
      </c>
      <c r="BB583" s="3"/>
      <c r="BC583" s="3"/>
      <c r="BD583" s="3"/>
      <c r="BE583" s="3"/>
      <c r="BF583">
        <v>1997</v>
      </c>
      <c r="BG583" s="24" t="s">
        <v>733</v>
      </c>
      <c r="BH583" s="24" t="s">
        <v>733</v>
      </c>
      <c r="BI583" s="24" t="s">
        <v>733</v>
      </c>
      <c r="BJ583" s="24" t="s">
        <v>732</v>
      </c>
      <c r="BK583" s="24" t="s">
        <v>733</v>
      </c>
      <c r="BL583" s="25" t="s">
        <v>733</v>
      </c>
      <c r="BM583" s="24" t="s">
        <v>733</v>
      </c>
      <c r="BN583" s="24" t="s">
        <v>732</v>
      </c>
      <c r="BO583" s="24" t="s">
        <v>733</v>
      </c>
      <c r="BP583" s="24" t="s">
        <v>733</v>
      </c>
      <c r="BQ583" s="24" t="s">
        <v>945</v>
      </c>
      <c r="BR583" s="24" t="s">
        <v>945</v>
      </c>
      <c r="BS583" s="25" t="s">
        <v>934</v>
      </c>
      <c r="BT583" s="24" t="s">
        <v>934</v>
      </c>
      <c r="BU583" s="24" t="s">
        <v>934</v>
      </c>
      <c r="BV583" s="24" t="s">
        <v>934</v>
      </c>
      <c r="BW583" s="24" t="s">
        <v>934</v>
      </c>
      <c r="BX583" s="24" t="s">
        <v>934</v>
      </c>
      <c r="BY583" s="25" t="s">
        <v>945</v>
      </c>
      <c r="BZ583" t="s">
        <v>1397</v>
      </c>
      <c r="CB583" t="s">
        <v>1390</v>
      </c>
      <c r="CC583" s="4">
        <f>AVERAGE(13799,2592,11159,1852)*86%</f>
        <v>6321.43</v>
      </c>
      <c r="CD583" s="4"/>
      <c r="CE583" s="4"/>
      <c r="CF583" t="s">
        <v>793</v>
      </c>
      <c r="CG583">
        <v>100</v>
      </c>
      <c r="CH583" t="s">
        <v>805</v>
      </c>
      <c r="CI583" s="28">
        <f t="shared" si="77"/>
        <v>1.0375000000000001</v>
      </c>
      <c r="CJ583" s="10" t="s">
        <v>1442</v>
      </c>
      <c r="CK583" s="9" t="s">
        <v>1</v>
      </c>
      <c r="CL583" s="4" t="s">
        <v>1</v>
      </c>
      <c r="CM583" t="s">
        <v>847</v>
      </c>
      <c r="CN583" s="4">
        <f>AVERAGE(234,128,235,169)</f>
        <v>191.5</v>
      </c>
      <c r="CO583" s="4" t="s">
        <v>1</v>
      </c>
      <c r="CP583" s="4" t="s">
        <v>1</v>
      </c>
      <c r="CQ583" s="4" t="s">
        <v>1</v>
      </c>
      <c r="CR583" s="4" t="s">
        <v>1</v>
      </c>
      <c r="CS583" s="4" t="s">
        <v>1</v>
      </c>
      <c r="CT583" s="4" t="s">
        <v>1</v>
      </c>
      <c r="CU583" s="4" t="s">
        <v>1</v>
      </c>
      <c r="CV583" s="38" t="s">
        <v>851</v>
      </c>
      <c r="CW583">
        <v>100</v>
      </c>
      <c r="CX583">
        <v>0</v>
      </c>
      <c r="CY583">
        <v>20</v>
      </c>
      <c r="CZ583" s="26" t="s">
        <v>1358</v>
      </c>
      <c r="DA583" t="s">
        <v>734</v>
      </c>
      <c r="DB583">
        <v>38.299999999999997</v>
      </c>
      <c r="DC583">
        <v>0</v>
      </c>
      <c r="DD583">
        <v>20</v>
      </c>
      <c r="DE583" s="26" t="s">
        <v>1358</v>
      </c>
      <c r="DF583" t="s">
        <v>735</v>
      </c>
      <c r="DG583">
        <v>47.5</v>
      </c>
      <c r="DH583">
        <v>0</v>
      </c>
      <c r="DI583">
        <v>20</v>
      </c>
      <c r="DJ583" s="26" t="s">
        <v>1358</v>
      </c>
      <c r="DK583" t="s">
        <v>736</v>
      </c>
      <c r="DL583">
        <v>14.2</v>
      </c>
      <c r="DM583">
        <v>0</v>
      </c>
      <c r="DN583">
        <v>20</v>
      </c>
      <c r="DO583" s="26" t="s">
        <v>1358</v>
      </c>
      <c r="DP583" t="s">
        <v>6</v>
      </c>
      <c r="DQ583" t="s">
        <v>813</v>
      </c>
      <c r="DR583">
        <v>8.1</v>
      </c>
      <c r="DS583">
        <v>0</v>
      </c>
      <c r="DT583">
        <v>20</v>
      </c>
      <c r="DU583" s="26" t="s">
        <v>1358</v>
      </c>
      <c r="EA583" t="s">
        <v>982</v>
      </c>
      <c r="EB583">
        <v>8.1000000000000014</v>
      </c>
      <c r="EC583">
        <v>0</v>
      </c>
      <c r="ED583">
        <v>20</v>
      </c>
      <c r="EE583" s="26" t="s">
        <v>1358</v>
      </c>
      <c r="EF583" s="26"/>
      <c r="FZ583" t="s">
        <v>806</v>
      </c>
      <c r="GA583">
        <v>394.5</v>
      </c>
      <c r="GE583" s="26" t="s">
        <v>1358</v>
      </c>
      <c r="HA583" s="5" t="s">
        <v>1</v>
      </c>
      <c r="HB583" s="4" t="s">
        <v>1</v>
      </c>
      <c r="HC583" t="s">
        <v>1</v>
      </c>
      <c r="HD583" t="s">
        <v>1</v>
      </c>
      <c r="HE583" t="s">
        <v>1</v>
      </c>
      <c r="HF583" s="5" t="s">
        <v>1</v>
      </c>
      <c r="HG583" s="4" t="s">
        <v>1</v>
      </c>
      <c r="HH583" t="s">
        <v>1</v>
      </c>
      <c r="HI583" t="s">
        <v>1</v>
      </c>
      <c r="HJ583" t="s">
        <v>1</v>
      </c>
      <c r="HK583" t="s">
        <v>815</v>
      </c>
      <c r="HL583">
        <v>1.47</v>
      </c>
      <c r="HM583">
        <v>0</v>
      </c>
      <c r="HN583">
        <v>20</v>
      </c>
      <c r="HO583" t="s">
        <v>1457</v>
      </c>
      <c r="HP583" s="26" t="s">
        <v>1358</v>
      </c>
      <c r="HZ583" t="s">
        <v>969</v>
      </c>
      <c r="IA583">
        <v>125</v>
      </c>
      <c r="IB583" s="10" t="s">
        <v>1</v>
      </c>
      <c r="IC583" s="10"/>
      <c r="ID583" s="10"/>
      <c r="IE583" s="10" t="s">
        <v>1</v>
      </c>
      <c r="IF583" s="10" t="s">
        <v>1</v>
      </c>
      <c r="IG583" s="10"/>
      <c r="IH583" s="10"/>
      <c r="II583" s="10"/>
      <c r="IJ583" s="10"/>
      <c r="IK583" s="10"/>
      <c r="IL583" s="10"/>
      <c r="IM583" s="10"/>
      <c r="IN583" s="10"/>
      <c r="IO583" s="10"/>
      <c r="IP583" s="10"/>
      <c r="IQ583" s="10"/>
      <c r="IR583" s="10"/>
      <c r="IS583" t="s">
        <v>1</v>
      </c>
      <c r="IT583" t="s">
        <v>1</v>
      </c>
      <c r="IW583" t="s">
        <v>1</v>
      </c>
      <c r="IX583" t="s">
        <v>1</v>
      </c>
      <c r="IY583" t="s">
        <v>808</v>
      </c>
      <c r="IZ583">
        <v>2925</v>
      </c>
      <c r="JA583" t="s">
        <v>1</v>
      </c>
      <c r="JB583" s="3" t="s">
        <v>1</v>
      </c>
      <c r="JC583" t="s">
        <v>1</v>
      </c>
      <c r="JD583" s="4" t="s">
        <v>1</v>
      </c>
      <c r="JE583" t="s">
        <v>1</v>
      </c>
      <c r="JF583" t="s">
        <v>1</v>
      </c>
      <c r="JR583" t="s">
        <v>1066</v>
      </c>
      <c r="JS583">
        <v>172.6</v>
      </c>
      <c r="JU583" t="s">
        <v>1</v>
      </c>
      <c r="JW583" t="s">
        <v>1</v>
      </c>
      <c r="JX583">
        <v>0</v>
      </c>
      <c r="JY583">
        <v>140</v>
      </c>
      <c r="JZ583" t="s">
        <v>800</v>
      </c>
      <c r="KA583" t="s">
        <v>674</v>
      </c>
      <c r="KB583" t="s">
        <v>738</v>
      </c>
      <c r="KC583" t="s">
        <v>1</v>
      </c>
      <c r="KD583" t="s">
        <v>1</v>
      </c>
      <c r="KE583" t="s">
        <v>1</v>
      </c>
      <c r="KF583" t="s">
        <v>1</v>
      </c>
      <c r="KG583" t="s">
        <v>1</v>
      </c>
      <c r="KH583" t="s">
        <v>1</v>
      </c>
      <c r="KI583" t="s">
        <v>1</v>
      </c>
      <c r="KJ583" t="s">
        <v>1</v>
      </c>
      <c r="KK583" t="s">
        <v>1</v>
      </c>
    </row>
    <row r="584" spans="1:297" x14ac:dyDescent="0.2">
      <c r="A584">
        <v>552</v>
      </c>
      <c r="B584" t="s">
        <v>705</v>
      </c>
      <c r="C584" t="s">
        <v>680</v>
      </c>
      <c r="D584" t="s">
        <v>696</v>
      </c>
      <c r="E584">
        <v>90</v>
      </c>
      <c r="F584" t="s">
        <v>1342</v>
      </c>
      <c r="G584" t="s">
        <v>1</v>
      </c>
      <c r="H584" s="26" t="s">
        <v>1420</v>
      </c>
      <c r="I584" t="s">
        <v>1</v>
      </c>
      <c r="J584" t="s">
        <v>1</v>
      </c>
      <c r="K584" t="s">
        <v>1</v>
      </c>
      <c r="L584" t="s">
        <v>1</v>
      </c>
      <c r="M584" t="s">
        <v>1</v>
      </c>
      <c r="N584" t="s">
        <v>1</v>
      </c>
      <c r="O584" t="s">
        <v>1</v>
      </c>
      <c r="P584" t="s">
        <v>1</v>
      </c>
      <c r="Q584" t="s">
        <v>1</v>
      </c>
      <c r="R584" t="s">
        <v>1</v>
      </c>
      <c r="S584" t="s">
        <v>1</v>
      </c>
      <c r="T584" t="s">
        <v>1</v>
      </c>
      <c r="U584" t="s">
        <v>1</v>
      </c>
      <c r="V584" t="s">
        <v>1</v>
      </c>
      <c r="W584" t="s">
        <v>1</v>
      </c>
      <c r="X584" t="s">
        <v>1</v>
      </c>
      <c r="Y584" t="s">
        <v>1</v>
      </c>
      <c r="Z584" t="s">
        <v>1</v>
      </c>
      <c r="AA584" t="s">
        <v>1</v>
      </c>
      <c r="AB584" t="s">
        <v>1</v>
      </c>
      <c r="AC584" t="s">
        <v>1</v>
      </c>
      <c r="AD584" t="s">
        <v>1</v>
      </c>
      <c r="AE584" t="s">
        <v>1</v>
      </c>
      <c r="AF584" t="s">
        <v>1</v>
      </c>
      <c r="AG584" t="s">
        <v>1</v>
      </c>
      <c r="AH584" t="s">
        <v>1</v>
      </c>
      <c r="AI584" t="s">
        <v>1</v>
      </c>
      <c r="AJ584" t="s">
        <v>1</v>
      </c>
      <c r="AK584" t="s">
        <v>1</v>
      </c>
      <c r="AL584" t="s">
        <v>1</v>
      </c>
      <c r="AM584" t="s">
        <v>1</v>
      </c>
      <c r="AN584">
        <v>552</v>
      </c>
      <c r="AO584">
        <f t="shared" si="74"/>
        <v>552</v>
      </c>
      <c r="AP584">
        <f t="shared" si="76"/>
        <v>90</v>
      </c>
      <c r="AQ584">
        <f t="shared" si="75"/>
        <v>90</v>
      </c>
      <c r="AR584" s="26" t="s">
        <v>1355</v>
      </c>
      <c r="AS584" s="26" t="s">
        <v>1356</v>
      </c>
      <c r="AT584" t="s">
        <v>711</v>
      </c>
      <c r="AU584" t="s">
        <v>1</v>
      </c>
      <c r="AV584" t="s">
        <v>1</v>
      </c>
      <c r="AW584">
        <v>40.32</v>
      </c>
      <c r="AX584">
        <v>-3.32</v>
      </c>
      <c r="AY584" t="s">
        <v>737</v>
      </c>
      <c r="BA584" s="3">
        <v>3</v>
      </c>
      <c r="BB584" s="3"/>
      <c r="BC584" s="3"/>
      <c r="BD584" s="3"/>
      <c r="BE584" s="3"/>
      <c r="BF584">
        <v>1997</v>
      </c>
      <c r="BG584" s="24" t="s">
        <v>733</v>
      </c>
      <c r="BH584" s="24" t="s">
        <v>733</v>
      </c>
      <c r="BI584" s="24" t="s">
        <v>733</v>
      </c>
      <c r="BJ584" s="24" t="s">
        <v>732</v>
      </c>
      <c r="BK584" s="24" t="s">
        <v>733</v>
      </c>
      <c r="BL584" s="25" t="s">
        <v>733</v>
      </c>
      <c r="BM584" s="24" t="s">
        <v>733</v>
      </c>
      <c r="BN584" s="24" t="s">
        <v>732</v>
      </c>
      <c r="BO584" s="24" t="s">
        <v>733</v>
      </c>
      <c r="BP584" s="24" t="s">
        <v>733</v>
      </c>
      <c r="BQ584" s="24" t="s">
        <v>945</v>
      </c>
      <c r="BR584" s="24" t="s">
        <v>945</v>
      </c>
      <c r="BS584" s="25" t="s">
        <v>934</v>
      </c>
      <c r="BT584" s="24" t="s">
        <v>934</v>
      </c>
      <c r="BU584" s="24" t="s">
        <v>934</v>
      </c>
      <c r="BV584" s="24" t="s">
        <v>934</v>
      </c>
      <c r="BW584" s="24" t="s">
        <v>934</v>
      </c>
      <c r="BX584" s="24" t="s">
        <v>934</v>
      </c>
      <c r="BY584" s="25" t="s">
        <v>945</v>
      </c>
      <c r="BZ584" t="s">
        <v>1397</v>
      </c>
      <c r="CB584" t="s">
        <v>1390</v>
      </c>
      <c r="CC584" s="4">
        <f>AVERAGE(12821,2643,11488,1819)*86%</f>
        <v>6185.7650000000003</v>
      </c>
      <c r="CD584" s="4"/>
      <c r="CE584" s="4"/>
      <c r="CF584" t="s">
        <v>793</v>
      </c>
      <c r="CG584">
        <v>100</v>
      </c>
      <c r="CH584" t="s">
        <v>805</v>
      </c>
      <c r="CI584" s="28">
        <f t="shared" si="77"/>
        <v>1.0375000000000001</v>
      </c>
      <c r="CJ584" s="10" t="s">
        <v>1442</v>
      </c>
      <c r="CK584" s="9" t="s">
        <v>1</v>
      </c>
      <c r="CL584" s="4" t="s">
        <v>1</v>
      </c>
      <c r="CM584" t="s">
        <v>847</v>
      </c>
      <c r="CN584" s="4">
        <f>AVERAGE(216,117,250,121)</f>
        <v>176</v>
      </c>
      <c r="CO584" s="4" t="s">
        <v>1</v>
      </c>
      <c r="CP584" s="4" t="s">
        <v>1</v>
      </c>
      <c r="CQ584" s="4" t="s">
        <v>1</v>
      </c>
      <c r="CR584" s="4" t="s">
        <v>1</v>
      </c>
      <c r="CS584" s="4" t="s">
        <v>1</v>
      </c>
      <c r="CT584" s="4" t="s">
        <v>1</v>
      </c>
      <c r="CU584" s="4" t="s">
        <v>1</v>
      </c>
      <c r="CV584" s="38" t="s">
        <v>851</v>
      </c>
      <c r="CW584">
        <v>100</v>
      </c>
      <c r="CX584">
        <v>0</v>
      </c>
      <c r="CY584">
        <v>20</v>
      </c>
      <c r="CZ584" s="26" t="s">
        <v>1358</v>
      </c>
      <c r="DA584" t="s">
        <v>734</v>
      </c>
      <c r="DB584">
        <v>38.299999999999997</v>
      </c>
      <c r="DC584">
        <v>0</v>
      </c>
      <c r="DD584">
        <v>20</v>
      </c>
      <c r="DE584" s="26" t="s">
        <v>1358</v>
      </c>
      <c r="DF584" t="s">
        <v>735</v>
      </c>
      <c r="DG584">
        <v>47.5</v>
      </c>
      <c r="DH584">
        <v>0</v>
      </c>
      <c r="DI584">
        <v>20</v>
      </c>
      <c r="DJ584" s="26" t="s">
        <v>1358</v>
      </c>
      <c r="DK584" t="s">
        <v>736</v>
      </c>
      <c r="DL584">
        <v>14.2</v>
      </c>
      <c r="DM584">
        <v>0</v>
      </c>
      <c r="DN584">
        <v>20</v>
      </c>
      <c r="DO584" s="26" t="s">
        <v>1358</v>
      </c>
      <c r="DP584" t="s">
        <v>6</v>
      </c>
      <c r="DQ584" t="s">
        <v>813</v>
      </c>
      <c r="DR584">
        <v>8.1</v>
      </c>
      <c r="DS584">
        <v>0</v>
      </c>
      <c r="DT584">
        <v>20</v>
      </c>
      <c r="DU584" s="26" t="s">
        <v>1358</v>
      </c>
      <c r="EA584" t="s">
        <v>982</v>
      </c>
      <c r="EB584">
        <v>8.1000000000000014</v>
      </c>
      <c r="EC584">
        <v>0</v>
      </c>
      <c r="ED584">
        <v>20</v>
      </c>
      <c r="EE584" s="26" t="s">
        <v>1358</v>
      </c>
      <c r="EF584" s="26"/>
      <c r="FZ584" t="s">
        <v>806</v>
      </c>
      <c r="GA584">
        <v>394.5</v>
      </c>
      <c r="GE584" s="26" t="s">
        <v>1358</v>
      </c>
      <c r="HA584" s="5" t="s">
        <v>1</v>
      </c>
      <c r="HB584" s="4" t="s">
        <v>1</v>
      </c>
      <c r="HC584" t="s">
        <v>1</v>
      </c>
      <c r="HD584" t="s">
        <v>1</v>
      </c>
      <c r="HE584" t="s">
        <v>1</v>
      </c>
      <c r="HF584" s="5" t="s">
        <v>1</v>
      </c>
      <c r="HG584" s="4" t="s">
        <v>1</v>
      </c>
      <c r="HH584" t="s">
        <v>1</v>
      </c>
      <c r="HI584" t="s">
        <v>1</v>
      </c>
      <c r="HJ584" t="s">
        <v>1</v>
      </c>
      <c r="HK584" t="s">
        <v>815</v>
      </c>
      <c r="HL584">
        <v>1.47</v>
      </c>
      <c r="HM584">
        <v>0</v>
      </c>
      <c r="HN584">
        <v>20</v>
      </c>
      <c r="HO584" t="s">
        <v>1457</v>
      </c>
      <c r="HP584" s="26" t="s">
        <v>1358</v>
      </c>
      <c r="HZ584" t="s">
        <v>1295</v>
      </c>
      <c r="IA584">
        <v>125</v>
      </c>
      <c r="IB584" s="10" t="s">
        <v>841</v>
      </c>
      <c r="IC584" s="10"/>
      <c r="ID584" s="10"/>
      <c r="IE584" s="10" t="s">
        <v>1312</v>
      </c>
      <c r="IF584" s="10" t="b">
        <v>1</v>
      </c>
      <c r="IG584" s="10"/>
      <c r="IH584" s="10"/>
      <c r="II584" s="10"/>
      <c r="IJ584" s="10"/>
      <c r="IK584" s="10"/>
      <c r="IL584" s="10"/>
      <c r="IM584" s="10"/>
      <c r="IN584" s="10"/>
      <c r="IO584" s="10"/>
      <c r="IP584" s="10"/>
      <c r="IQ584" s="10"/>
      <c r="IR584" s="10"/>
      <c r="IS584" t="s">
        <v>1</v>
      </c>
      <c r="IT584" t="s">
        <v>1</v>
      </c>
      <c r="IW584" t="s">
        <v>1</v>
      </c>
      <c r="IX584" t="s">
        <v>1</v>
      </c>
      <c r="IY584" t="s">
        <v>808</v>
      </c>
      <c r="IZ584">
        <v>2925</v>
      </c>
      <c r="JA584" t="s">
        <v>1</v>
      </c>
      <c r="JB584" s="3" t="s">
        <v>1</v>
      </c>
      <c r="JC584" t="s">
        <v>1</v>
      </c>
      <c r="JD584" s="4" t="s">
        <v>1</v>
      </c>
      <c r="JE584" t="s">
        <v>1</v>
      </c>
      <c r="JF584" t="s">
        <v>1</v>
      </c>
      <c r="JR584" t="s">
        <v>1066</v>
      </c>
      <c r="JS584">
        <v>110.7</v>
      </c>
      <c r="JU584" t="s">
        <v>1</v>
      </c>
      <c r="JW584" t="s">
        <v>1</v>
      </c>
      <c r="JX584">
        <v>0</v>
      </c>
      <c r="JY584">
        <v>140</v>
      </c>
      <c r="JZ584" t="s">
        <v>800</v>
      </c>
      <c r="KA584" t="s">
        <v>674</v>
      </c>
      <c r="KB584" t="s">
        <v>738</v>
      </c>
      <c r="KC584" t="s">
        <v>1</v>
      </c>
      <c r="KD584" t="s">
        <v>1</v>
      </c>
      <c r="KE584" t="s">
        <v>1</v>
      </c>
      <c r="KF584" t="s">
        <v>1</v>
      </c>
      <c r="KG584" t="s">
        <v>1</v>
      </c>
      <c r="KH584" t="s">
        <v>1</v>
      </c>
      <c r="KI584" t="s">
        <v>1</v>
      </c>
      <c r="KJ584" t="s">
        <v>1</v>
      </c>
      <c r="KK584" t="s">
        <v>1</v>
      </c>
    </row>
    <row r="585" spans="1:297" x14ac:dyDescent="0.2">
      <c r="A585">
        <v>553</v>
      </c>
      <c r="B585" t="s">
        <v>705</v>
      </c>
      <c r="C585" t="s">
        <v>681</v>
      </c>
      <c r="D585" t="s">
        <v>696</v>
      </c>
      <c r="E585">
        <v>90</v>
      </c>
      <c r="F585" t="s">
        <v>1342</v>
      </c>
      <c r="G585" t="s">
        <v>1</v>
      </c>
      <c r="H585" s="26" t="s">
        <v>1420</v>
      </c>
      <c r="I585" t="s">
        <v>1</v>
      </c>
      <c r="J585" t="s">
        <v>1</v>
      </c>
      <c r="K585" t="s">
        <v>1</v>
      </c>
      <c r="L585" t="s">
        <v>1</v>
      </c>
      <c r="M585" t="s">
        <v>1</v>
      </c>
      <c r="N585" t="s">
        <v>1</v>
      </c>
      <c r="O585" t="s">
        <v>1</v>
      </c>
      <c r="P585" t="s">
        <v>1</v>
      </c>
      <c r="Q585" t="s">
        <v>1</v>
      </c>
      <c r="R585" t="s">
        <v>1</v>
      </c>
      <c r="S585" t="s">
        <v>1</v>
      </c>
      <c r="T585" t="s">
        <v>1</v>
      </c>
      <c r="U585" t="s">
        <v>1</v>
      </c>
      <c r="V585" t="s">
        <v>1</v>
      </c>
      <c r="W585" t="s">
        <v>1</v>
      </c>
      <c r="X585" t="s">
        <v>1</v>
      </c>
      <c r="Y585" t="s">
        <v>1</v>
      </c>
      <c r="Z585" t="s">
        <v>1</v>
      </c>
      <c r="AA585" t="s">
        <v>1</v>
      </c>
      <c r="AB585" t="s">
        <v>1</v>
      </c>
      <c r="AC585" t="s">
        <v>1</v>
      </c>
      <c r="AD585" t="s">
        <v>1</v>
      </c>
      <c r="AE585" t="s">
        <v>1</v>
      </c>
      <c r="AF585" t="s">
        <v>1</v>
      </c>
      <c r="AG585" t="s">
        <v>1</v>
      </c>
      <c r="AH585" t="s">
        <v>1</v>
      </c>
      <c r="AI585" t="s">
        <v>1</v>
      </c>
      <c r="AJ585" t="s">
        <v>1</v>
      </c>
      <c r="AK585" t="s">
        <v>1</v>
      </c>
      <c r="AL585" t="s">
        <v>1</v>
      </c>
      <c r="AM585" t="s">
        <v>1</v>
      </c>
      <c r="AN585">
        <v>553</v>
      </c>
      <c r="AO585">
        <f t="shared" si="74"/>
        <v>553</v>
      </c>
      <c r="AP585">
        <f t="shared" si="76"/>
        <v>90</v>
      </c>
      <c r="AQ585">
        <f t="shared" si="75"/>
        <v>90</v>
      </c>
      <c r="AR585" s="26" t="s">
        <v>1355</v>
      </c>
      <c r="AS585" s="26" t="s">
        <v>1356</v>
      </c>
      <c r="AT585" t="s">
        <v>711</v>
      </c>
      <c r="AU585" t="s">
        <v>1</v>
      </c>
      <c r="AV585" t="s">
        <v>1</v>
      </c>
      <c r="AW585">
        <v>40.32</v>
      </c>
      <c r="AX585">
        <v>-3.32</v>
      </c>
      <c r="AY585" t="s">
        <v>737</v>
      </c>
      <c r="BA585" s="3">
        <v>3</v>
      </c>
      <c r="BB585" s="3"/>
      <c r="BC585" s="3"/>
      <c r="BD585" s="3"/>
      <c r="BE585" s="3"/>
      <c r="BF585">
        <v>1997</v>
      </c>
      <c r="BG585" s="24" t="s">
        <v>733</v>
      </c>
      <c r="BH585" s="24" t="s">
        <v>733</v>
      </c>
      <c r="BI585" s="24" t="s">
        <v>733</v>
      </c>
      <c r="BJ585" s="24" t="s">
        <v>732</v>
      </c>
      <c r="BK585" s="24" t="s">
        <v>733</v>
      </c>
      <c r="BL585" s="25" t="s">
        <v>733</v>
      </c>
      <c r="BM585" s="24" t="s">
        <v>733</v>
      </c>
      <c r="BN585" s="24" t="s">
        <v>732</v>
      </c>
      <c r="BO585" s="24" t="s">
        <v>733</v>
      </c>
      <c r="BP585" s="24" t="s">
        <v>733</v>
      </c>
      <c r="BQ585" s="24" t="s">
        <v>945</v>
      </c>
      <c r="BR585" s="24" t="s">
        <v>945</v>
      </c>
      <c r="BS585" s="25" t="s">
        <v>934</v>
      </c>
      <c r="BT585" s="24" t="s">
        <v>934</v>
      </c>
      <c r="BU585" s="24" t="s">
        <v>934</v>
      </c>
      <c r="BV585" s="24" t="s">
        <v>934</v>
      </c>
      <c r="BW585" s="24" t="s">
        <v>934</v>
      </c>
      <c r="BX585" s="24" t="s">
        <v>934</v>
      </c>
      <c r="BY585" s="25" t="s">
        <v>945</v>
      </c>
      <c r="BZ585" t="s">
        <v>1397</v>
      </c>
      <c r="CB585" t="s">
        <v>1390</v>
      </c>
      <c r="CC585" s="4">
        <f>AVERAGE(12976,2764,10286,2039)*86%</f>
        <v>6033.9749999999995</v>
      </c>
      <c r="CD585" s="4"/>
      <c r="CE585" s="4"/>
      <c r="CF585" t="s">
        <v>793</v>
      </c>
      <c r="CG585">
        <v>100</v>
      </c>
      <c r="CH585" t="s">
        <v>805</v>
      </c>
      <c r="CI585" s="28">
        <f t="shared" si="77"/>
        <v>1.0375000000000001</v>
      </c>
      <c r="CJ585" s="10" t="s">
        <v>1442</v>
      </c>
      <c r="CK585" s="9" t="s">
        <v>1</v>
      </c>
      <c r="CL585" s="4" t="s">
        <v>1</v>
      </c>
      <c r="CM585" t="s">
        <v>847</v>
      </c>
      <c r="CN585" s="4">
        <f>AVERAGE(254,113,184,99)</f>
        <v>162.5</v>
      </c>
      <c r="CO585" s="4" t="s">
        <v>1</v>
      </c>
      <c r="CP585" s="4" t="s">
        <v>1</v>
      </c>
      <c r="CQ585" s="4" t="s">
        <v>1</v>
      </c>
      <c r="CR585" s="4" t="s">
        <v>1</v>
      </c>
      <c r="CS585" s="4" t="s">
        <v>1</v>
      </c>
      <c r="CT585" s="4" t="s">
        <v>1</v>
      </c>
      <c r="CU585" s="4" t="s">
        <v>1</v>
      </c>
      <c r="CV585" s="38" t="s">
        <v>851</v>
      </c>
      <c r="CW585">
        <v>100</v>
      </c>
      <c r="CX585">
        <v>0</v>
      </c>
      <c r="CY585">
        <v>20</v>
      </c>
      <c r="CZ585" s="26" t="s">
        <v>1358</v>
      </c>
      <c r="DA585" t="s">
        <v>734</v>
      </c>
      <c r="DB585">
        <v>38.299999999999997</v>
      </c>
      <c r="DC585">
        <v>0</v>
      </c>
      <c r="DD585">
        <v>20</v>
      </c>
      <c r="DE585" s="26" t="s">
        <v>1358</v>
      </c>
      <c r="DF585" t="s">
        <v>735</v>
      </c>
      <c r="DG585">
        <v>47.5</v>
      </c>
      <c r="DH585">
        <v>0</v>
      </c>
      <c r="DI585">
        <v>20</v>
      </c>
      <c r="DJ585" s="26" t="s">
        <v>1358</v>
      </c>
      <c r="DK585" t="s">
        <v>736</v>
      </c>
      <c r="DL585">
        <v>14.2</v>
      </c>
      <c r="DM585">
        <v>0</v>
      </c>
      <c r="DN585">
        <v>20</v>
      </c>
      <c r="DO585" s="26" t="s">
        <v>1358</v>
      </c>
      <c r="DP585" t="s">
        <v>6</v>
      </c>
      <c r="DQ585" t="s">
        <v>813</v>
      </c>
      <c r="DR585">
        <v>8.1</v>
      </c>
      <c r="DS585">
        <v>0</v>
      </c>
      <c r="DT585">
        <v>20</v>
      </c>
      <c r="DU585" s="26" t="s">
        <v>1358</v>
      </c>
      <c r="EA585" t="s">
        <v>982</v>
      </c>
      <c r="EB585">
        <v>8.1000000000000014</v>
      </c>
      <c r="EC585">
        <v>0</v>
      </c>
      <c r="ED585">
        <v>20</v>
      </c>
      <c r="EE585" s="26" t="s">
        <v>1358</v>
      </c>
      <c r="EF585" s="26"/>
      <c r="FZ585" t="s">
        <v>806</v>
      </c>
      <c r="GA585">
        <v>394.5</v>
      </c>
      <c r="GE585" s="26" t="s">
        <v>1358</v>
      </c>
      <c r="HA585" s="5" t="s">
        <v>1</v>
      </c>
      <c r="HB585" s="4" t="s">
        <v>1</v>
      </c>
      <c r="HC585" t="s">
        <v>1</v>
      </c>
      <c r="HD585" t="s">
        <v>1</v>
      </c>
      <c r="HE585" t="s">
        <v>1</v>
      </c>
      <c r="HF585" s="5" t="s">
        <v>1</v>
      </c>
      <c r="HG585" s="4" t="s">
        <v>1</v>
      </c>
      <c r="HH585" t="s">
        <v>1</v>
      </c>
      <c r="HI585" t="s">
        <v>1</v>
      </c>
      <c r="HJ585" t="s">
        <v>1</v>
      </c>
      <c r="HK585" t="s">
        <v>815</v>
      </c>
      <c r="HL585">
        <v>1.47</v>
      </c>
      <c r="HM585">
        <v>0</v>
      </c>
      <c r="HN585">
        <v>20</v>
      </c>
      <c r="HO585" t="s">
        <v>1457</v>
      </c>
      <c r="HP585" s="26" t="s">
        <v>1358</v>
      </c>
      <c r="HZ585" t="s">
        <v>1</v>
      </c>
      <c r="IA585" t="s">
        <v>1</v>
      </c>
      <c r="IB585" s="10" t="s">
        <v>1</v>
      </c>
      <c r="IC585" s="10"/>
      <c r="ID585" s="10"/>
      <c r="IE585" s="10" t="s">
        <v>1</v>
      </c>
      <c r="IF585" s="10" t="s">
        <v>1</v>
      </c>
      <c r="IG585" s="10"/>
      <c r="IH585" s="10"/>
      <c r="II585" s="10"/>
      <c r="IJ585" s="10"/>
      <c r="IK585" s="10"/>
      <c r="IL585" s="10"/>
      <c r="IM585" s="10"/>
      <c r="IN585" s="10"/>
      <c r="IO585" s="10"/>
      <c r="IP585" s="10"/>
      <c r="IQ585" s="10"/>
      <c r="IR585" s="10"/>
      <c r="IS585" t="s">
        <v>978</v>
      </c>
      <c r="IT585">
        <v>75</v>
      </c>
      <c r="IW585" t="s">
        <v>1</v>
      </c>
      <c r="IX585" t="s">
        <v>1</v>
      </c>
      <c r="IY585" t="s">
        <v>808</v>
      </c>
      <c r="IZ585">
        <v>2925</v>
      </c>
      <c r="JA585" t="s">
        <v>1</v>
      </c>
      <c r="JB585" s="3" t="s">
        <v>1</v>
      </c>
      <c r="JC585" t="s">
        <v>1</v>
      </c>
      <c r="JD585" s="4" t="s">
        <v>1</v>
      </c>
      <c r="JE585" t="s">
        <v>1</v>
      </c>
      <c r="JF585" t="s">
        <v>1</v>
      </c>
      <c r="JR585" t="s">
        <v>1066</v>
      </c>
      <c r="JS585">
        <v>55.3</v>
      </c>
      <c r="JU585" t="s">
        <v>1</v>
      </c>
      <c r="JW585" t="s">
        <v>1</v>
      </c>
      <c r="JX585">
        <v>0</v>
      </c>
      <c r="JY585">
        <v>140</v>
      </c>
      <c r="JZ585" t="s">
        <v>800</v>
      </c>
      <c r="KA585" t="s">
        <v>674</v>
      </c>
      <c r="KB585" t="s">
        <v>738</v>
      </c>
      <c r="KC585" t="s">
        <v>1</v>
      </c>
      <c r="KD585" t="s">
        <v>1</v>
      </c>
      <c r="KE585" t="s">
        <v>1</v>
      </c>
      <c r="KF585" t="s">
        <v>1</v>
      </c>
      <c r="KG585" t="s">
        <v>1</v>
      </c>
      <c r="KH585" t="s">
        <v>1</v>
      </c>
      <c r="KI585" t="s">
        <v>1</v>
      </c>
      <c r="KJ585" t="s">
        <v>1</v>
      </c>
      <c r="KK585" t="s">
        <v>1</v>
      </c>
    </row>
    <row r="586" spans="1:297" x14ac:dyDescent="0.2">
      <c r="A586">
        <v>554</v>
      </c>
      <c r="B586" t="s">
        <v>705</v>
      </c>
      <c r="C586" t="s">
        <v>105</v>
      </c>
      <c r="D586" t="s">
        <v>697</v>
      </c>
      <c r="E586">
        <v>91</v>
      </c>
      <c r="F586" t="s">
        <v>682</v>
      </c>
      <c r="G586" t="s">
        <v>1</v>
      </c>
      <c r="H586" s="26" t="s">
        <v>1420</v>
      </c>
      <c r="I586" t="s">
        <v>1</v>
      </c>
      <c r="J586" t="s">
        <v>1</v>
      </c>
      <c r="K586" t="s">
        <v>1</v>
      </c>
      <c r="L586" t="s">
        <v>1</v>
      </c>
      <c r="M586" t="s">
        <v>1</v>
      </c>
      <c r="N586" t="s">
        <v>1</v>
      </c>
      <c r="O586" t="s">
        <v>1</v>
      </c>
      <c r="P586" t="s">
        <v>1</v>
      </c>
      <c r="Q586" t="s">
        <v>1</v>
      </c>
      <c r="R586" t="s">
        <v>1</v>
      </c>
      <c r="S586" t="s">
        <v>1</v>
      </c>
      <c r="T586" t="s">
        <v>1</v>
      </c>
      <c r="U586" t="s">
        <v>1</v>
      </c>
      <c r="V586" t="s">
        <v>1</v>
      </c>
      <c r="W586" t="s">
        <v>1</v>
      </c>
      <c r="X586" t="s">
        <v>1</v>
      </c>
      <c r="Y586" t="s">
        <v>1</v>
      </c>
      <c r="Z586" t="s">
        <v>1</v>
      </c>
      <c r="AA586" t="s">
        <v>1</v>
      </c>
      <c r="AB586" t="s">
        <v>1</v>
      </c>
      <c r="AC586" t="s">
        <v>1</v>
      </c>
      <c r="AD586" t="s">
        <v>1</v>
      </c>
      <c r="AE586" t="s">
        <v>1</v>
      </c>
      <c r="AF586" t="s">
        <v>1</v>
      </c>
      <c r="AG586" t="s">
        <v>1</v>
      </c>
      <c r="AH586" t="s">
        <v>1</v>
      </c>
      <c r="AI586" t="s">
        <v>1</v>
      </c>
      <c r="AJ586" t="s">
        <v>1</v>
      </c>
      <c r="AK586" t="s">
        <v>1</v>
      </c>
      <c r="AL586" t="s">
        <v>1</v>
      </c>
      <c r="AM586" t="s">
        <v>1</v>
      </c>
      <c r="AN586">
        <v>554</v>
      </c>
      <c r="AO586">
        <f t="shared" si="74"/>
        <v>554</v>
      </c>
      <c r="AP586">
        <f t="shared" si="76"/>
        <v>91</v>
      </c>
      <c r="AQ586">
        <f t="shared" si="75"/>
        <v>91</v>
      </c>
      <c r="AR586" s="26" t="s">
        <v>1355</v>
      </c>
      <c r="AS586" s="26" t="s">
        <v>1356</v>
      </c>
      <c r="AT586" t="s">
        <v>714</v>
      </c>
      <c r="AU586" t="s">
        <v>1</v>
      </c>
      <c r="AV586" t="s">
        <v>1</v>
      </c>
      <c r="AW586">
        <v>59.82</v>
      </c>
      <c r="AX586">
        <v>17.649999999999999</v>
      </c>
      <c r="AY586" t="s">
        <v>737</v>
      </c>
      <c r="BA586" s="3">
        <v>3</v>
      </c>
      <c r="BB586" s="3"/>
      <c r="BC586" s="3"/>
      <c r="BD586" s="3"/>
      <c r="BE586" s="3"/>
      <c r="BF586">
        <v>2005</v>
      </c>
      <c r="BG586" s="24" t="s">
        <v>733</v>
      </c>
      <c r="BH586" s="24" t="s">
        <v>733</v>
      </c>
      <c r="BI586" s="24" t="s">
        <v>733</v>
      </c>
      <c r="BJ586" s="24" t="s">
        <v>732</v>
      </c>
      <c r="BK586" s="24" t="s">
        <v>733</v>
      </c>
      <c r="BL586" s="25" t="s">
        <v>733</v>
      </c>
      <c r="BM586" s="24" t="s">
        <v>733</v>
      </c>
      <c r="BN586" s="24" t="s">
        <v>732</v>
      </c>
      <c r="BO586" s="24" t="s">
        <v>733</v>
      </c>
      <c r="BP586" s="24" t="s">
        <v>733</v>
      </c>
      <c r="BQ586" s="24" t="s">
        <v>945</v>
      </c>
      <c r="BR586" s="24" t="s">
        <v>945</v>
      </c>
      <c r="BS586" s="25" t="s">
        <v>934</v>
      </c>
      <c r="BT586" s="24" t="s">
        <v>934</v>
      </c>
      <c r="BU586" s="24" t="s">
        <v>934</v>
      </c>
      <c r="BV586" s="24" t="s">
        <v>934</v>
      </c>
      <c r="BW586" s="24" t="s">
        <v>934</v>
      </c>
      <c r="BX586" s="24" t="s">
        <v>934</v>
      </c>
      <c r="BY586" s="25" t="s">
        <v>945</v>
      </c>
      <c r="BZ586" t="s">
        <v>788</v>
      </c>
      <c r="CB586" t="s">
        <v>1409</v>
      </c>
      <c r="CC586" s="4">
        <f>AVERAGE(3239,2549,0)</f>
        <v>1929.3333333333333</v>
      </c>
      <c r="CD586" s="4"/>
      <c r="CE586" s="4"/>
      <c r="CF586" t="s">
        <v>793</v>
      </c>
      <c r="CG586">
        <v>100</v>
      </c>
      <c r="CH586" t="s">
        <v>805</v>
      </c>
      <c r="CI586" s="28">
        <f t="shared" ref="CI586:CI591" si="78">AVERAGE(1.5,1.5,0)</f>
        <v>1</v>
      </c>
      <c r="CJ586" s="10" t="s">
        <v>1442</v>
      </c>
      <c r="CK586" t="s">
        <v>807</v>
      </c>
      <c r="CL586" s="4">
        <f>AVERAGE(4729,2448,0)</f>
        <v>2392.3333333333335</v>
      </c>
      <c r="CM586" t="s">
        <v>847</v>
      </c>
      <c r="CN586" s="4">
        <f>AVERAGE(75,40,0)</f>
        <v>38.333333333333336</v>
      </c>
      <c r="CO586" s="4" t="s">
        <v>1</v>
      </c>
      <c r="CP586" s="4" t="s">
        <v>1</v>
      </c>
      <c r="CQ586" s="4" t="s">
        <v>1</v>
      </c>
      <c r="CR586" s="4" t="s">
        <v>1</v>
      </c>
      <c r="CS586" s="4" t="s">
        <v>1</v>
      </c>
      <c r="CT586" s="4" t="s">
        <v>1</v>
      </c>
      <c r="CU586" s="4" t="s">
        <v>1</v>
      </c>
      <c r="CV586" t="s">
        <v>853</v>
      </c>
      <c r="CW586">
        <v>100</v>
      </c>
      <c r="CX586">
        <v>0</v>
      </c>
      <c r="CY586">
        <v>30</v>
      </c>
      <c r="CZ586" s="26" t="s">
        <v>1358</v>
      </c>
      <c r="DA586" t="s">
        <v>734</v>
      </c>
      <c r="DB586">
        <v>91.6</v>
      </c>
      <c r="DC586">
        <v>0</v>
      </c>
      <c r="DD586">
        <v>30</v>
      </c>
      <c r="DE586" s="26" t="s">
        <v>1358</v>
      </c>
      <c r="DF586" t="s">
        <v>735</v>
      </c>
      <c r="DG586">
        <v>5.6</v>
      </c>
      <c r="DH586">
        <v>0</v>
      </c>
      <c r="DI586">
        <v>30</v>
      </c>
      <c r="DJ586" s="26" t="s">
        <v>1358</v>
      </c>
      <c r="DK586" t="s">
        <v>736</v>
      </c>
      <c r="DL586">
        <v>2.8</v>
      </c>
      <c r="DM586">
        <v>0</v>
      </c>
      <c r="DN586">
        <v>30</v>
      </c>
      <c r="DO586" s="26" t="s">
        <v>1358</v>
      </c>
      <c r="DP586" t="s">
        <v>6</v>
      </c>
      <c r="DQ586" t="s">
        <v>813</v>
      </c>
      <c r="DR586">
        <v>6.3</v>
      </c>
      <c r="DS586">
        <v>0</v>
      </c>
      <c r="DT586">
        <v>30</v>
      </c>
      <c r="DU586" s="26" t="s">
        <v>1358</v>
      </c>
      <c r="EA586" t="s">
        <v>982</v>
      </c>
      <c r="EB586">
        <v>10</v>
      </c>
      <c r="EC586">
        <v>0</v>
      </c>
      <c r="ED586">
        <v>30</v>
      </c>
      <c r="EE586" s="26" t="s">
        <v>1358</v>
      </c>
      <c r="EF586" s="26"/>
      <c r="FZ586" t="s">
        <v>806</v>
      </c>
      <c r="GA586">
        <v>581.66666669999995</v>
      </c>
      <c r="GE586" s="26" t="s">
        <v>1358</v>
      </c>
      <c r="HA586" s="5" t="s">
        <v>1069</v>
      </c>
      <c r="HB586" s="4">
        <v>3.5400000000000005</v>
      </c>
      <c r="HC586">
        <v>0</v>
      </c>
      <c r="HD586">
        <v>30</v>
      </c>
      <c r="HE586" s="26" t="s">
        <v>1358</v>
      </c>
      <c r="HF586" s="5" t="s">
        <v>1063</v>
      </c>
      <c r="HG586" s="4">
        <v>0.8</v>
      </c>
      <c r="HH586">
        <v>0</v>
      </c>
      <c r="HI586">
        <v>30</v>
      </c>
      <c r="HJ586" s="26" t="s">
        <v>1358</v>
      </c>
      <c r="HK586" t="s">
        <v>1</v>
      </c>
      <c r="HL586" t="s">
        <v>1</v>
      </c>
      <c r="HM586" t="s">
        <v>1</v>
      </c>
      <c r="HN586" t="s">
        <v>1</v>
      </c>
      <c r="HO586" t="s">
        <v>1</v>
      </c>
      <c r="HP586" t="s">
        <v>1</v>
      </c>
      <c r="HZ586" t="s">
        <v>1</v>
      </c>
      <c r="IA586" t="s">
        <v>1</v>
      </c>
      <c r="IB586" s="10" t="s">
        <v>1</v>
      </c>
      <c r="IC586" s="10"/>
      <c r="ID586" s="10"/>
      <c r="IE586" s="10" t="s">
        <v>1</v>
      </c>
      <c r="IF586" s="10" t="s">
        <v>1</v>
      </c>
      <c r="IG586" s="10"/>
      <c r="IH586" s="10"/>
      <c r="II586" s="10"/>
      <c r="IJ586" s="10"/>
      <c r="IK586" s="10"/>
      <c r="IL586" s="10"/>
      <c r="IM586" s="10"/>
      <c r="IN586" s="10"/>
      <c r="IO586" s="10"/>
      <c r="IP586" s="10"/>
      <c r="IQ586" s="10"/>
      <c r="IR586" s="10"/>
      <c r="IS586" t="s">
        <v>1</v>
      </c>
      <c r="IT586" t="s">
        <v>1</v>
      </c>
      <c r="IW586" t="s">
        <v>1</v>
      </c>
      <c r="IX586" t="s">
        <v>1</v>
      </c>
      <c r="IY586" t="s">
        <v>808</v>
      </c>
      <c r="IZ586">
        <v>500</v>
      </c>
      <c r="JA586" t="s">
        <v>1</v>
      </c>
      <c r="JB586" s="3" t="s">
        <v>1</v>
      </c>
      <c r="JC586" t="s">
        <v>1</v>
      </c>
      <c r="JD586" s="4" t="s">
        <v>1</v>
      </c>
      <c r="JE586" t="s">
        <v>1</v>
      </c>
      <c r="JF586" t="s">
        <v>1</v>
      </c>
      <c r="JR586" t="s">
        <v>1066</v>
      </c>
      <c r="JS586">
        <v>333.3</v>
      </c>
      <c r="JU586" t="s">
        <v>1</v>
      </c>
      <c r="JW586" t="s">
        <v>1</v>
      </c>
      <c r="JX586">
        <v>0</v>
      </c>
      <c r="JY586">
        <v>100</v>
      </c>
      <c r="JZ586" t="s">
        <v>796</v>
      </c>
      <c r="KA586" t="s">
        <v>683</v>
      </c>
      <c r="KB586" t="s">
        <v>738</v>
      </c>
      <c r="KC586" t="s">
        <v>1</v>
      </c>
      <c r="KD586" t="s">
        <v>1</v>
      </c>
      <c r="KE586" t="s">
        <v>1</v>
      </c>
      <c r="KF586" t="s">
        <v>1</v>
      </c>
      <c r="KG586" t="s">
        <v>1</v>
      </c>
      <c r="KH586" t="s">
        <v>1</v>
      </c>
      <c r="KI586" t="s">
        <v>1</v>
      </c>
      <c r="KJ586" t="s">
        <v>1</v>
      </c>
      <c r="KK586" t="s">
        <v>1</v>
      </c>
    </row>
    <row r="587" spans="1:297" x14ac:dyDescent="0.2">
      <c r="A587">
        <v>555</v>
      </c>
      <c r="B587" t="s">
        <v>705</v>
      </c>
      <c r="C587" t="s">
        <v>1343</v>
      </c>
      <c r="D587" t="s">
        <v>697</v>
      </c>
      <c r="E587">
        <v>91</v>
      </c>
      <c r="F587" t="s">
        <v>682</v>
      </c>
      <c r="G587" t="s">
        <v>1</v>
      </c>
      <c r="H587" s="26" t="s">
        <v>1420</v>
      </c>
      <c r="I587" t="s">
        <v>1</v>
      </c>
      <c r="J587" t="s">
        <v>1</v>
      </c>
      <c r="K587" t="s">
        <v>1</v>
      </c>
      <c r="L587" t="s">
        <v>1</v>
      </c>
      <c r="M587" t="s">
        <v>1</v>
      </c>
      <c r="N587" t="s">
        <v>1</v>
      </c>
      <c r="O587" t="s">
        <v>1</v>
      </c>
      <c r="P587" t="s">
        <v>1</v>
      </c>
      <c r="Q587" t="s">
        <v>1</v>
      </c>
      <c r="R587" t="s">
        <v>1</v>
      </c>
      <c r="S587" t="s">
        <v>1</v>
      </c>
      <c r="T587" t="s">
        <v>1</v>
      </c>
      <c r="U587" t="s">
        <v>1</v>
      </c>
      <c r="V587" t="s">
        <v>1</v>
      </c>
      <c r="W587" t="s">
        <v>1</v>
      </c>
      <c r="X587" t="s">
        <v>1</v>
      </c>
      <c r="Y587" t="s">
        <v>1</v>
      </c>
      <c r="Z587" t="s">
        <v>1</v>
      </c>
      <c r="AA587" t="s">
        <v>1</v>
      </c>
      <c r="AB587" t="s">
        <v>1</v>
      </c>
      <c r="AC587" t="s">
        <v>1</v>
      </c>
      <c r="AD587" t="s">
        <v>1</v>
      </c>
      <c r="AE587" t="s">
        <v>1</v>
      </c>
      <c r="AF587" t="s">
        <v>1</v>
      </c>
      <c r="AG587" t="s">
        <v>1</v>
      </c>
      <c r="AH587" t="s">
        <v>1</v>
      </c>
      <c r="AI587" t="s">
        <v>1</v>
      </c>
      <c r="AJ587" t="s">
        <v>1</v>
      </c>
      <c r="AK587" t="s">
        <v>1</v>
      </c>
      <c r="AL587" t="s">
        <v>1</v>
      </c>
      <c r="AM587" t="s">
        <v>1</v>
      </c>
      <c r="AN587">
        <v>555</v>
      </c>
      <c r="AO587">
        <f t="shared" si="74"/>
        <v>555</v>
      </c>
      <c r="AP587">
        <f t="shared" si="76"/>
        <v>91</v>
      </c>
      <c r="AQ587">
        <f t="shared" si="75"/>
        <v>91</v>
      </c>
      <c r="AR587" s="26" t="s">
        <v>1355</v>
      </c>
      <c r="AS587" s="26" t="s">
        <v>1356</v>
      </c>
      <c r="AT587" t="s">
        <v>714</v>
      </c>
      <c r="AU587" t="s">
        <v>1</v>
      </c>
      <c r="AV587" t="s">
        <v>1</v>
      </c>
      <c r="AW587">
        <v>59.82</v>
      </c>
      <c r="AX587">
        <v>17.649999999999999</v>
      </c>
      <c r="AY587" t="s">
        <v>737</v>
      </c>
      <c r="BA587" s="3">
        <v>3</v>
      </c>
      <c r="BB587" s="3"/>
      <c r="BC587" s="3"/>
      <c r="BD587" s="3"/>
      <c r="BE587" s="3"/>
      <c r="BF587">
        <v>2005</v>
      </c>
      <c r="BG587" s="24" t="s">
        <v>733</v>
      </c>
      <c r="BH587" s="24" t="s">
        <v>733</v>
      </c>
      <c r="BI587" s="24" t="s">
        <v>733</v>
      </c>
      <c r="BJ587" s="24" t="s">
        <v>732</v>
      </c>
      <c r="BK587" s="24" t="s">
        <v>733</v>
      </c>
      <c r="BL587" s="25" t="s">
        <v>733</v>
      </c>
      <c r="BM587" s="24" t="s">
        <v>733</v>
      </c>
      <c r="BN587" s="24" t="s">
        <v>732</v>
      </c>
      <c r="BO587" s="24" t="s">
        <v>733</v>
      </c>
      <c r="BP587" s="24" t="s">
        <v>733</v>
      </c>
      <c r="BQ587" s="24" t="s">
        <v>945</v>
      </c>
      <c r="BR587" s="24" t="s">
        <v>945</v>
      </c>
      <c r="BS587" s="25" t="s">
        <v>934</v>
      </c>
      <c r="BT587" s="24" t="s">
        <v>934</v>
      </c>
      <c r="BU587" s="24" t="s">
        <v>934</v>
      </c>
      <c r="BV587" s="24" t="s">
        <v>934</v>
      </c>
      <c r="BW587" s="24" t="s">
        <v>934</v>
      </c>
      <c r="BX587" s="24" t="s">
        <v>934</v>
      </c>
      <c r="BY587" s="25" t="s">
        <v>945</v>
      </c>
      <c r="BZ587" t="s">
        <v>788</v>
      </c>
      <c r="CB587" t="s">
        <v>1409</v>
      </c>
      <c r="CC587" s="34">
        <f>AVERAGE(4909,4455,0)</f>
        <v>3121.3333333333335</v>
      </c>
      <c r="CD587" s="34"/>
      <c r="CE587" s="34"/>
      <c r="CF587" t="s">
        <v>793</v>
      </c>
      <c r="CG587">
        <v>100</v>
      </c>
      <c r="CH587" t="s">
        <v>805</v>
      </c>
      <c r="CI587" s="28">
        <f t="shared" si="78"/>
        <v>1</v>
      </c>
      <c r="CJ587" s="10" t="s">
        <v>1442</v>
      </c>
      <c r="CK587" t="s">
        <v>807</v>
      </c>
      <c r="CL587" s="4">
        <f>AVERAGE(6652,5498,0)</f>
        <v>4050</v>
      </c>
      <c r="CM587" t="s">
        <v>847</v>
      </c>
      <c r="CN587" s="4">
        <f>AVERAGE(139,100,0)</f>
        <v>79.666666666666671</v>
      </c>
      <c r="CO587" s="4" t="s">
        <v>1</v>
      </c>
      <c r="CP587" s="4" t="s">
        <v>1</v>
      </c>
      <c r="CQ587" s="4" t="s">
        <v>1</v>
      </c>
      <c r="CR587" s="4" t="s">
        <v>1</v>
      </c>
      <c r="CS587" s="4" t="s">
        <v>1</v>
      </c>
      <c r="CT587" s="4" t="s">
        <v>1</v>
      </c>
      <c r="CU587" s="4" t="s">
        <v>1</v>
      </c>
      <c r="CV587" t="s">
        <v>853</v>
      </c>
      <c r="CW587">
        <v>100</v>
      </c>
      <c r="CX587">
        <v>0</v>
      </c>
      <c r="CY587">
        <v>30</v>
      </c>
      <c r="CZ587" s="26" t="s">
        <v>1358</v>
      </c>
      <c r="DA587" t="s">
        <v>734</v>
      </c>
      <c r="DB587">
        <v>91.6</v>
      </c>
      <c r="DC587">
        <v>0</v>
      </c>
      <c r="DD587">
        <v>30</v>
      </c>
      <c r="DE587" s="26" t="s">
        <v>1358</v>
      </c>
      <c r="DF587" t="s">
        <v>735</v>
      </c>
      <c r="DG587">
        <v>5.6</v>
      </c>
      <c r="DH587">
        <v>0</v>
      </c>
      <c r="DI587">
        <v>30</v>
      </c>
      <c r="DJ587" s="26" t="s">
        <v>1358</v>
      </c>
      <c r="DK587" t="s">
        <v>736</v>
      </c>
      <c r="DL587">
        <v>2.8</v>
      </c>
      <c r="DM587">
        <v>0</v>
      </c>
      <c r="DN587">
        <v>30</v>
      </c>
      <c r="DO587" s="26" t="s">
        <v>1358</v>
      </c>
      <c r="DP587" t="s">
        <v>6</v>
      </c>
      <c r="DQ587" t="s">
        <v>813</v>
      </c>
      <c r="DR587">
        <v>6.3</v>
      </c>
      <c r="DS587">
        <v>0</v>
      </c>
      <c r="DT587">
        <v>30</v>
      </c>
      <c r="DU587" s="26" t="s">
        <v>1358</v>
      </c>
      <c r="EA587" t="s">
        <v>982</v>
      </c>
      <c r="EB587">
        <v>10</v>
      </c>
      <c r="EC587">
        <v>0</v>
      </c>
      <c r="ED587">
        <v>30</v>
      </c>
      <c r="EE587" s="26" t="s">
        <v>1358</v>
      </c>
      <c r="EF587" s="26"/>
      <c r="FZ587" t="s">
        <v>806</v>
      </c>
      <c r="GA587">
        <v>581.66666669999995</v>
      </c>
      <c r="GE587" s="26" t="s">
        <v>1358</v>
      </c>
      <c r="HA587" s="5" t="s">
        <v>1069</v>
      </c>
      <c r="HB587" s="4">
        <v>3.5400000000000005</v>
      </c>
      <c r="HC587">
        <v>0</v>
      </c>
      <c r="HD587">
        <v>30</v>
      </c>
      <c r="HE587" s="26" t="s">
        <v>1358</v>
      </c>
      <c r="HF587" s="5" t="s">
        <v>1063</v>
      </c>
      <c r="HG587" s="4">
        <v>0.8</v>
      </c>
      <c r="HH587">
        <v>0</v>
      </c>
      <c r="HI587">
        <v>30</v>
      </c>
      <c r="HJ587" s="26" t="s">
        <v>1358</v>
      </c>
      <c r="HK587" t="s">
        <v>1</v>
      </c>
      <c r="HL587" t="s">
        <v>1</v>
      </c>
      <c r="HM587" t="s">
        <v>1</v>
      </c>
      <c r="HN587" t="s">
        <v>1</v>
      </c>
      <c r="HO587" t="s">
        <v>1</v>
      </c>
      <c r="HP587" t="s">
        <v>1</v>
      </c>
      <c r="HZ587" t="s">
        <v>966</v>
      </c>
      <c r="IA587">
        <v>67</v>
      </c>
      <c r="IB587" s="5" t="s">
        <v>1</v>
      </c>
      <c r="IC587" s="5"/>
      <c r="ID587" s="5"/>
      <c r="IE587" s="10" t="s">
        <v>1</v>
      </c>
      <c r="IF587" s="10" t="s">
        <v>1</v>
      </c>
      <c r="IG587" s="10"/>
      <c r="IH587" s="10"/>
      <c r="II587" s="10"/>
      <c r="IJ587" s="10"/>
      <c r="IK587" s="10"/>
      <c r="IL587" s="10"/>
      <c r="IM587" s="10"/>
      <c r="IN587" s="10"/>
      <c r="IO587" s="10"/>
      <c r="IP587" s="10"/>
      <c r="IQ587" s="10"/>
      <c r="IR587" s="10"/>
      <c r="IS587" t="s">
        <v>1</v>
      </c>
      <c r="IT587" t="s">
        <v>1</v>
      </c>
      <c r="IW587" t="s">
        <v>1</v>
      </c>
      <c r="IX587" t="s">
        <v>1</v>
      </c>
      <c r="IY587" t="s">
        <v>808</v>
      </c>
      <c r="IZ587">
        <v>500</v>
      </c>
      <c r="JA587" t="s">
        <v>1</v>
      </c>
      <c r="JB587" s="3" t="s">
        <v>1</v>
      </c>
      <c r="JC587" t="s">
        <v>1</v>
      </c>
      <c r="JD587" s="4" t="s">
        <v>1</v>
      </c>
      <c r="JE587" t="s">
        <v>1</v>
      </c>
      <c r="JF587" t="s">
        <v>1</v>
      </c>
      <c r="JR587" t="s">
        <v>1066</v>
      </c>
      <c r="JS587">
        <v>457.3</v>
      </c>
      <c r="JU587" t="s">
        <v>1</v>
      </c>
      <c r="JW587" t="s">
        <v>1</v>
      </c>
      <c r="JX587">
        <v>0</v>
      </c>
      <c r="JY587">
        <v>100</v>
      </c>
      <c r="JZ587" t="s">
        <v>796</v>
      </c>
      <c r="KA587" t="s">
        <v>683</v>
      </c>
      <c r="KB587" t="s">
        <v>738</v>
      </c>
      <c r="KC587" t="s">
        <v>1</v>
      </c>
      <c r="KD587" t="s">
        <v>1</v>
      </c>
      <c r="KE587" t="s">
        <v>1</v>
      </c>
      <c r="KF587" t="s">
        <v>1</v>
      </c>
      <c r="KG587" t="s">
        <v>1</v>
      </c>
      <c r="KH587" t="s">
        <v>1</v>
      </c>
      <c r="KI587" t="s">
        <v>1</v>
      </c>
      <c r="KJ587" t="s">
        <v>1</v>
      </c>
      <c r="KK587" t="s">
        <v>1</v>
      </c>
    </row>
    <row r="588" spans="1:297" x14ac:dyDescent="0.2">
      <c r="A588">
        <v>556</v>
      </c>
      <c r="B588" t="s">
        <v>705</v>
      </c>
      <c r="C588" t="s">
        <v>684</v>
      </c>
      <c r="D588" t="s">
        <v>697</v>
      </c>
      <c r="E588">
        <v>91</v>
      </c>
      <c r="F588" t="s">
        <v>682</v>
      </c>
      <c r="G588" t="s">
        <v>1</v>
      </c>
      <c r="H588" s="26" t="s">
        <v>1420</v>
      </c>
      <c r="I588" t="s">
        <v>1</v>
      </c>
      <c r="J588" t="s">
        <v>1</v>
      </c>
      <c r="K588" t="s">
        <v>1</v>
      </c>
      <c r="L588" t="s">
        <v>1</v>
      </c>
      <c r="M588" t="s">
        <v>1</v>
      </c>
      <c r="N588" t="s">
        <v>1</v>
      </c>
      <c r="O588" t="s">
        <v>1</v>
      </c>
      <c r="P588" t="s">
        <v>1</v>
      </c>
      <c r="Q588" t="s">
        <v>1</v>
      </c>
      <c r="R588" t="s">
        <v>1</v>
      </c>
      <c r="S588" t="s">
        <v>1</v>
      </c>
      <c r="T588" t="s">
        <v>1</v>
      </c>
      <c r="U588" t="s">
        <v>1</v>
      </c>
      <c r="V588" t="s">
        <v>1</v>
      </c>
      <c r="W588" t="s">
        <v>1</v>
      </c>
      <c r="X588" t="s">
        <v>1</v>
      </c>
      <c r="Y588" t="s">
        <v>1</v>
      </c>
      <c r="Z588" t="s">
        <v>1</v>
      </c>
      <c r="AA588" t="s">
        <v>1</v>
      </c>
      <c r="AB588" t="s">
        <v>1</v>
      </c>
      <c r="AC588" t="s">
        <v>1</v>
      </c>
      <c r="AD588" t="s">
        <v>1</v>
      </c>
      <c r="AE588" t="s">
        <v>1</v>
      </c>
      <c r="AF588" t="s">
        <v>1</v>
      </c>
      <c r="AG588" t="s">
        <v>1</v>
      </c>
      <c r="AH588" t="s">
        <v>1</v>
      </c>
      <c r="AI588" t="s">
        <v>1</v>
      </c>
      <c r="AJ588" t="s">
        <v>1</v>
      </c>
      <c r="AK588" t="s">
        <v>1</v>
      </c>
      <c r="AL588" t="s">
        <v>1</v>
      </c>
      <c r="AM588" t="s">
        <v>1</v>
      </c>
      <c r="AN588">
        <v>556</v>
      </c>
      <c r="AO588">
        <f t="shared" si="74"/>
        <v>556</v>
      </c>
      <c r="AP588">
        <f t="shared" si="76"/>
        <v>91</v>
      </c>
      <c r="AQ588">
        <f t="shared" si="75"/>
        <v>91</v>
      </c>
      <c r="AR588" s="26" t="s">
        <v>1355</v>
      </c>
      <c r="AS588" s="26" t="s">
        <v>1356</v>
      </c>
      <c r="AT588" t="s">
        <v>714</v>
      </c>
      <c r="AU588" t="s">
        <v>1</v>
      </c>
      <c r="AV588" t="s">
        <v>1</v>
      </c>
      <c r="AW588">
        <v>59.82</v>
      </c>
      <c r="AX588">
        <v>17.649999999999999</v>
      </c>
      <c r="AY588" t="s">
        <v>737</v>
      </c>
      <c r="BA588" s="3">
        <v>3</v>
      </c>
      <c r="BB588" s="3"/>
      <c r="BC588" s="3"/>
      <c r="BD588" s="3"/>
      <c r="BE588" s="3"/>
      <c r="BF588">
        <v>2005</v>
      </c>
      <c r="BG588" s="24" t="s">
        <v>733</v>
      </c>
      <c r="BH588" s="24" t="s">
        <v>733</v>
      </c>
      <c r="BI588" s="24" t="s">
        <v>733</v>
      </c>
      <c r="BJ588" s="24" t="s">
        <v>732</v>
      </c>
      <c r="BK588" s="24" t="s">
        <v>733</v>
      </c>
      <c r="BL588" s="25" t="s">
        <v>733</v>
      </c>
      <c r="BM588" s="24" t="s">
        <v>733</v>
      </c>
      <c r="BN588" s="24" t="s">
        <v>732</v>
      </c>
      <c r="BO588" s="24" t="s">
        <v>733</v>
      </c>
      <c r="BP588" s="24" t="s">
        <v>733</v>
      </c>
      <c r="BQ588" s="24" t="s">
        <v>945</v>
      </c>
      <c r="BR588" s="24" t="s">
        <v>945</v>
      </c>
      <c r="BS588" s="25" t="s">
        <v>934</v>
      </c>
      <c r="BT588" s="24" t="s">
        <v>934</v>
      </c>
      <c r="BU588" s="24" t="s">
        <v>934</v>
      </c>
      <c r="BV588" s="24" t="s">
        <v>934</v>
      </c>
      <c r="BW588" s="24" t="s">
        <v>934</v>
      </c>
      <c r="BX588" s="24" t="s">
        <v>934</v>
      </c>
      <c r="BY588" s="25" t="s">
        <v>945</v>
      </c>
      <c r="BZ588" t="s">
        <v>788</v>
      </c>
      <c r="CB588" t="s">
        <v>1409</v>
      </c>
      <c r="CC588" s="34">
        <f>AVERAGE(4969,3773,0)</f>
        <v>2914</v>
      </c>
      <c r="CD588" s="34"/>
      <c r="CE588" s="34"/>
      <c r="CF588" t="s">
        <v>793</v>
      </c>
      <c r="CG588">
        <v>100</v>
      </c>
      <c r="CH588" t="s">
        <v>805</v>
      </c>
      <c r="CI588" s="28">
        <f t="shared" si="78"/>
        <v>1</v>
      </c>
      <c r="CJ588" s="10" t="s">
        <v>1442</v>
      </c>
      <c r="CK588" t="s">
        <v>807</v>
      </c>
      <c r="CL588" s="4">
        <f>AVERAGE(5567,3676,0)</f>
        <v>3081</v>
      </c>
      <c r="CM588" t="s">
        <v>847</v>
      </c>
      <c r="CN588" s="4">
        <f>AVERAGE(94,57,0)</f>
        <v>50.333333333333336</v>
      </c>
      <c r="CO588" s="4" t="s">
        <v>1</v>
      </c>
      <c r="CP588" s="4" t="s">
        <v>1</v>
      </c>
      <c r="CQ588" s="4" t="s">
        <v>1</v>
      </c>
      <c r="CR588" s="4" t="s">
        <v>1</v>
      </c>
      <c r="CS588" s="4" t="s">
        <v>1</v>
      </c>
      <c r="CT588" s="4" t="s">
        <v>1</v>
      </c>
      <c r="CU588" s="4" t="s">
        <v>1</v>
      </c>
      <c r="CV588" t="s">
        <v>853</v>
      </c>
      <c r="CW588">
        <v>100</v>
      </c>
      <c r="CX588">
        <v>0</v>
      </c>
      <c r="CY588">
        <v>30</v>
      </c>
      <c r="CZ588" s="26" t="s">
        <v>1358</v>
      </c>
      <c r="DA588" t="s">
        <v>734</v>
      </c>
      <c r="DB588">
        <v>91.6</v>
      </c>
      <c r="DC588">
        <v>0</v>
      </c>
      <c r="DD588">
        <v>30</v>
      </c>
      <c r="DE588" s="26" t="s">
        <v>1358</v>
      </c>
      <c r="DF588" t="s">
        <v>735</v>
      </c>
      <c r="DG588">
        <v>5.6</v>
      </c>
      <c r="DH588">
        <v>0</v>
      </c>
      <c r="DI588">
        <v>30</v>
      </c>
      <c r="DJ588" s="26" t="s">
        <v>1358</v>
      </c>
      <c r="DK588" t="s">
        <v>736</v>
      </c>
      <c r="DL588">
        <v>2.8</v>
      </c>
      <c r="DM588">
        <v>0</v>
      </c>
      <c r="DN588">
        <v>30</v>
      </c>
      <c r="DO588" s="26" t="s">
        <v>1358</v>
      </c>
      <c r="DP588" t="s">
        <v>6</v>
      </c>
      <c r="DQ588" t="s">
        <v>813</v>
      </c>
      <c r="DR588">
        <v>6.3</v>
      </c>
      <c r="DS588">
        <v>0</v>
      </c>
      <c r="DT588">
        <v>30</v>
      </c>
      <c r="DU588" s="26" t="s">
        <v>1358</v>
      </c>
      <c r="EA588" t="s">
        <v>982</v>
      </c>
      <c r="EB588">
        <v>10</v>
      </c>
      <c r="EC588">
        <v>0</v>
      </c>
      <c r="ED588">
        <v>30</v>
      </c>
      <c r="EE588" s="26" t="s">
        <v>1358</v>
      </c>
      <c r="EF588" s="26"/>
      <c r="FZ588" t="s">
        <v>806</v>
      </c>
      <c r="GA588">
        <v>581.66666669999995</v>
      </c>
      <c r="GE588" s="26" t="s">
        <v>1358</v>
      </c>
      <c r="HA588" s="5" t="s">
        <v>1069</v>
      </c>
      <c r="HB588" s="4">
        <v>3.5400000000000005</v>
      </c>
      <c r="HC588">
        <v>0</v>
      </c>
      <c r="HD588">
        <v>30</v>
      </c>
      <c r="HE588" s="26" t="s">
        <v>1358</v>
      </c>
      <c r="HF588" s="5" t="s">
        <v>1063</v>
      </c>
      <c r="HG588" s="4">
        <v>0.8</v>
      </c>
      <c r="HH588">
        <v>0</v>
      </c>
      <c r="HI588">
        <v>30</v>
      </c>
      <c r="HJ588" s="26" t="s">
        <v>1358</v>
      </c>
      <c r="HK588" t="s">
        <v>1</v>
      </c>
      <c r="HL588" t="s">
        <v>1</v>
      </c>
      <c r="HM588" t="s">
        <v>1</v>
      </c>
      <c r="HN588" t="s">
        <v>1</v>
      </c>
      <c r="HO588" t="s">
        <v>1</v>
      </c>
      <c r="HP588" t="s">
        <v>1</v>
      </c>
      <c r="HZ588" t="s">
        <v>1</v>
      </c>
      <c r="IA588" t="s">
        <v>1</v>
      </c>
      <c r="IB588" s="10" t="s">
        <v>1</v>
      </c>
      <c r="IC588" s="10"/>
      <c r="ID588" s="10"/>
      <c r="IE588" s="10" t="s">
        <v>1</v>
      </c>
      <c r="IF588" s="10" t="s">
        <v>1</v>
      </c>
      <c r="IG588" s="10"/>
      <c r="IH588" s="10"/>
      <c r="II588" s="10"/>
      <c r="IJ588" s="10"/>
      <c r="IK588" s="10"/>
      <c r="IL588" s="10"/>
      <c r="IM588" s="10"/>
      <c r="IN588" s="10"/>
      <c r="IO588" s="10"/>
      <c r="IP588" s="10"/>
      <c r="IQ588" s="10"/>
      <c r="IR588" s="10"/>
      <c r="IS588" t="s">
        <v>1</v>
      </c>
      <c r="IT588" t="s">
        <v>1</v>
      </c>
      <c r="IW588" t="s">
        <v>979</v>
      </c>
      <c r="IX588">
        <v>33</v>
      </c>
      <c r="IY588" t="s">
        <v>808</v>
      </c>
      <c r="IZ588">
        <v>500</v>
      </c>
      <c r="JA588" t="s">
        <v>1</v>
      </c>
      <c r="JB588" s="3" t="s">
        <v>1</v>
      </c>
      <c r="JC588" t="s">
        <v>1</v>
      </c>
      <c r="JD588" s="4" t="s">
        <v>1</v>
      </c>
      <c r="JE588" t="s">
        <v>1</v>
      </c>
      <c r="JF588" t="s">
        <v>1</v>
      </c>
      <c r="JR588" t="s">
        <v>1066</v>
      </c>
      <c r="JS588">
        <v>413</v>
      </c>
      <c r="JU588" t="s">
        <v>1</v>
      </c>
      <c r="JW588" t="s">
        <v>1</v>
      </c>
      <c r="JX588">
        <v>0</v>
      </c>
      <c r="JY588">
        <v>100</v>
      </c>
      <c r="JZ588" t="s">
        <v>796</v>
      </c>
      <c r="KA588" t="s">
        <v>683</v>
      </c>
      <c r="KB588" t="s">
        <v>738</v>
      </c>
      <c r="KC588" t="s">
        <v>1</v>
      </c>
      <c r="KD588" t="s">
        <v>1</v>
      </c>
      <c r="KE588" t="s">
        <v>1</v>
      </c>
      <c r="KF588" t="s">
        <v>1</v>
      </c>
      <c r="KG588" t="s">
        <v>1</v>
      </c>
      <c r="KH588" t="s">
        <v>1</v>
      </c>
      <c r="KI588" t="s">
        <v>1</v>
      </c>
      <c r="KJ588" t="s">
        <v>1</v>
      </c>
      <c r="KK588" t="s">
        <v>1</v>
      </c>
    </row>
    <row r="589" spans="1:297" x14ac:dyDescent="0.2">
      <c r="A589">
        <v>557</v>
      </c>
      <c r="B589" t="s">
        <v>705</v>
      </c>
      <c r="C589" t="s">
        <v>685</v>
      </c>
      <c r="D589" t="s">
        <v>697</v>
      </c>
      <c r="E589">
        <v>91</v>
      </c>
      <c r="F589" t="s">
        <v>682</v>
      </c>
      <c r="G589" t="s">
        <v>1</v>
      </c>
      <c r="H589" s="26" t="s">
        <v>1420</v>
      </c>
      <c r="I589" t="s">
        <v>1</v>
      </c>
      <c r="J589" t="s">
        <v>1</v>
      </c>
      <c r="K589" t="s">
        <v>1</v>
      </c>
      <c r="L589" t="s">
        <v>1</v>
      </c>
      <c r="M589" t="s">
        <v>1</v>
      </c>
      <c r="N589" t="s">
        <v>1</v>
      </c>
      <c r="O589" t="s">
        <v>1</v>
      </c>
      <c r="P589" t="s">
        <v>1</v>
      </c>
      <c r="Q589" t="s">
        <v>1</v>
      </c>
      <c r="R589" t="s">
        <v>1</v>
      </c>
      <c r="S589" t="s">
        <v>1</v>
      </c>
      <c r="T589" t="s">
        <v>1</v>
      </c>
      <c r="U589" t="s">
        <v>1</v>
      </c>
      <c r="V589" t="s">
        <v>1</v>
      </c>
      <c r="W589" t="s">
        <v>1</v>
      </c>
      <c r="X589" t="s">
        <v>1</v>
      </c>
      <c r="Y589" t="s">
        <v>1</v>
      </c>
      <c r="Z589" t="s">
        <v>1</v>
      </c>
      <c r="AA589" t="s">
        <v>1</v>
      </c>
      <c r="AB589" t="s">
        <v>1</v>
      </c>
      <c r="AC589" t="s">
        <v>1</v>
      </c>
      <c r="AD589" t="s">
        <v>1</v>
      </c>
      <c r="AE589" t="s">
        <v>1</v>
      </c>
      <c r="AF589" t="s">
        <v>1</v>
      </c>
      <c r="AG589" t="s">
        <v>1</v>
      </c>
      <c r="AH589" t="s">
        <v>1</v>
      </c>
      <c r="AI589" t="s">
        <v>1</v>
      </c>
      <c r="AJ589" t="s">
        <v>1</v>
      </c>
      <c r="AK589" t="s">
        <v>1</v>
      </c>
      <c r="AL589" t="s">
        <v>1</v>
      </c>
      <c r="AM589" t="s">
        <v>1</v>
      </c>
      <c r="AN589">
        <v>557</v>
      </c>
      <c r="AO589">
        <f t="shared" si="74"/>
        <v>557</v>
      </c>
      <c r="AP589">
        <f t="shared" si="76"/>
        <v>91</v>
      </c>
      <c r="AQ589">
        <f t="shared" si="75"/>
        <v>91</v>
      </c>
      <c r="AR589" s="26" t="s">
        <v>1355</v>
      </c>
      <c r="AS589" s="26" t="s">
        <v>1356</v>
      </c>
      <c r="AT589" t="s">
        <v>714</v>
      </c>
      <c r="AU589" t="s">
        <v>1</v>
      </c>
      <c r="AV589" t="s">
        <v>1</v>
      </c>
      <c r="AW589">
        <v>59.82</v>
      </c>
      <c r="AX589">
        <v>17.649999999999999</v>
      </c>
      <c r="AY589" t="s">
        <v>737</v>
      </c>
      <c r="BA589" s="3">
        <v>3</v>
      </c>
      <c r="BB589" s="3"/>
      <c r="BC589" s="3"/>
      <c r="BD589" s="3"/>
      <c r="BE589" s="3"/>
      <c r="BF589">
        <v>2005</v>
      </c>
      <c r="BG589" s="24" t="s">
        <v>733</v>
      </c>
      <c r="BH589" s="24" t="s">
        <v>733</v>
      </c>
      <c r="BI589" s="24" t="s">
        <v>733</v>
      </c>
      <c r="BJ589" s="24" t="s">
        <v>732</v>
      </c>
      <c r="BK589" s="24" t="s">
        <v>733</v>
      </c>
      <c r="BL589" s="25" t="s">
        <v>733</v>
      </c>
      <c r="BM589" s="24" t="s">
        <v>733</v>
      </c>
      <c r="BN589" s="24" t="s">
        <v>732</v>
      </c>
      <c r="BO589" s="24" t="s">
        <v>733</v>
      </c>
      <c r="BP589" s="24" t="s">
        <v>733</v>
      </c>
      <c r="BQ589" s="24" t="s">
        <v>945</v>
      </c>
      <c r="BR589" s="24" t="s">
        <v>945</v>
      </c>
      <c r="BS589" s="25" t="s">
        <v>934</v>
      </c>
      <c r="BT589" s="24" t="s">
        <v>934</v>
      </c>
      <c r="BU589" s="24" t="s">
        <v>934</v>
      </c>
      <c r="BV589" s="24" t="s">
        <v>934</v>
      </c>
      <c r="BW589" s="24" t="s">
        <v>934</v>
      </c>
      <c r="BX589" s="24" t="s">
        <v>934</v>
      </c>
      <c r="BY589" s="25" t="s">
        <v>945</v>
      </c>
      <c r="BZ589" t="s">
        <v>788</v>
      </c>
      <c r="CB589" t="s">
        <v>1409</v>
      </c>
      <c r="CC589" s="34">
        <f>AVERAGE(4411, 4015,0)</f>
        <v>2808.6666666666665</v>
      </c>
      <c r="CD589" s="34"/>
      <c r="CE589" s="34"/>
      <c r="CF589" t="s">
        <v>793</v>
      </c>
      <c r="CG589">
        <v>100</v>
      </c>
      <c r="CH589" t="s">
        <v>805</v>
      </c>
      <c r="CI589" s="28">
        <f t="shared" si="78"/>
        <v>1</v>
      </c>
      <c r="CJ589" s="10" t="s">
        <v>1442</v>
      </c>
      <c r="CK589" t="s">
        <v>807</v>
      </c>
      <c r="CL589" s="4">
        <f>AVERAGE(5905,5044,0)</f>
        <v>3649.6666666666665</v>
      </c>
      <c r="CM589" t="s">
        <v>847</v>
      </c>
      <c r="CN589" s="4">
        <f>AVERAGE(114,78,0)</f>
        <v>64</v>
      </c>
      <c r="CO589" s="4" t="s">
        <v>1</v>
      </c>
      <c r="CP589" s="4" t="s">
        <v>1</v>
      </c>
      <c r="CQ589" s="4" t="s">
        <v>1</v>
      </c>
      <c r="CR589" s="4" t="s">
        <v>1</v>
      </c>
      <c r="CS589" s="4" t="s">
        <v>1</v>
      </c>
      <c r="CT589" s="4" t="s">
        <v>1</v>
      </c>
      <c r="CU589" s="4" t="s">
        <v>1</v>
      </c>
      <c r="CV589" t="s">
        <v>853</v>
      </c>
      <c r="CW589">
        <v>100</v>
      </c>
      <c r="CX589">
        <v>0</v>
      </c>
      <c r="CY589">
        <v>30</v>
      </c>
      <c r="CZ589" s="26" t="s">
        <v>1358</v>
      </c>
      <c r="DA589" t="s">
        <v>734</v>
      </c>
      <c r="DB589">
        <v>91.6</v>
      </c>
      <c r="DC589">
        <v>0</v>
      </c>
      <c r="DD589">
        <v>30</v>
      </c>
      <c r="DE589" s="26" t="s">
        <v>1358</v>
      </c>
      <c r="DF589" t="s">
        <v>735</v>
      </c>
      <c r="DG589">
        <v>5.6</v>
      </c>
      <c r="DH589">
        <v>0</v>
      </c>
      <c r="DI589">
        <v>30</v>
      </c>
      <c r="DJ589" s="26" t="s">
        <v>1358</v>
      </c>
      <c r="DK589" t="s">
        <v>736</v>
      </c>
      <c r="DL589">
        <v>2.8</v>
      </c>
      <c r="DM589">
        <v>0</v>
      </c>
      <c r="DN589">
        <v>30</v>
      </c>
      <c r="DO589" s="26" t="s">
        <v>1358</v>
      </c>
      <c r="DP589" t="s">
        <v>6</v>
      </c>
      <c r="DQ589" t="s">
        <v>813</v>
      </c>
      <c r="DR589">
        <v>6.3</v>
      </c>
      <c r="DS589">
        <v>0</v>
      </c>
      <c r="DT589">
        <v>30</v>
      </c>
      <c r="DU589" s="26" t="s">
        <v>1358</v>
      </c>
      <c r="EA589" t="s">
        <v>982</v>
      </c>
      <c r="EB589">
        <v>10</v>
      </c>
      <c r="EC589">
        <v>0</v>
      </c>
      <c r="ED589">
        <v>30</v>
      </c>
      <c r="EE589" s="26" t="s">
        <v>1358</v>
      </c>
      <c r="EF589" s="26"/>
      <c r="FZ589" t="s">
        <v>806</v>
      </c>
      <c r="GA589">
        <v>581.66666669999995</v>
      </c>
      <c r="GE589" s="26" t="s">
        <v>1358</v>
      </c>
      <c r="HA589" s="5" t="s">
        <v>1069</v>
      </c>
      <c r="HB589" s="4">
        <v>3.5400000000000005</v>
      </c>
      <c r="HC589">
        <v>0</v>
      </c>
      <c r="HD589">
        <v>30</v>
      </c>
      <c r="HE589" s="26" t="s">
        <v>1358</v>
      </c>
      <c r="HF589" s="5" t="s">
        <v>1063</v>
      </c>
      <c r="HG589" s="4">
        <v>0.8</v>
      </c>
      <c r="HH589">
        <v>0</v>
      </c>
      <c r="HI589">
        <v>30</v>
      </c>
      <c r="HJ589" s="26" t="s">
        <v>1358</v>
      </c>
      <c r="HK589" t="s">
        <v>1</v>
      </c>
      <c r="HL589" t="s">
        <v>1</v>
      </c>
      <c r="HM589" t="s">
        <v>1</v>
      </c>
      <c r="HN589" t="s">
        <v>1</v>
      </c>
      <c r="HO589" t="s">
        <v>1</v>
      </c>
      <c r="HP589" t="s">
        <v>1</v>
      </c>
      <c r="HZ589" t="s">
        <v>1</v>
      </c>
      <c r="IA589" t="s">
        <v>1</v>
      </c>
      <c r="IB589" s="10" t="s">
        <v>1</v>
      </c>
      <c r="IC589" s="10"/>
      <c r="ID589" s="10"/>
      <c r="IE589" s="10" t="s">
        <v>1</v>
      </c>
      <c r="IF589" s="10" t="s">
        <v>1</v>
      </c>
      <c r="IG589" s="10"/>
      <c r="IH589" s="10"/>
      <c r="II589" s="10"/>
      <c r="IJ589" s="10"/>
      <c r="IK589" s="10"/>
      <c r="IL589" s="10"/>
      <c r="IM589" s="10"/>
      <c r="IN589" s="10"/>
      <c r="IO589" s="10"/>
      <c r="IP589" s="10"/>
      <c r="IQ589" s="10"/>
      <c r="IR589" s="10"/>
      <c r="IS589" t="s">
        <v>1</v>
      </c>
      <c r="IT589" t="s">
        <v>1</v>
      </c>
      <c r="IW589" t="s">
        <v>979</v>
      </c>
      <c r="IX589">
        <v>67</v>
      </c>
      <c r="IY589" t="s">
        <v>808</v>
      </c>
      <c r="IZ589">
        <v>500</v>
      </c>
      <c r="JA589" t="s">
        <v>1</v>
      </c>
      <c r="JB589" s="3" t="s">
        <v>1</v>
      </c>
      <c r="JC589" t="s">
        <v>1</v>
      </c>
      <c r="JD589" s="4" t="s">
        <v>1</v>
      </c>
      <c r="JE589" t="s">
        <v>1</v>
      </c>
      <c r="JF589" t="s">
        <v>1</v>
      </c>
      <c r="JR589" t="s">
        <v>1066</v>
      </c>
      <c r="JS589">
        <v>531.20000000000005</v>
      </c>
      <c r="JU589" t="s">
        <v>1</v>
      </c>
      <c r="JW589" t="s">
        <v>1</v>
      </c>
      <c r="JX589">
        <v>0</v>
      </c>
      <c r="JY589">
        <v>100</v>
      </c>
      <c r="JZ589" t="s">
        <v>796</v>
      </c>
      <c r="KA589" t="s">
        <v>683</v>
      </c>
      <c r="KB589" t="s">
        <v>738</v>
      </c>
      <c r="KC589" t="s">
        <v>1</v>
      </c>
      <c r="KD589" t="s">
        <v>1</v>
      </c>
      <c r="KE589" t="s">
        <v>1</v>
      </c>
      <c r="KF589" t="s">
        <v>1</v>
      </c>
      <c r="KG589" t="s">
        <v>1</v>
      </c>
      <c r="KH589" t="s">
        <v>1</v>
      </c>
      <c r="KI589" t="s">
        <v>1</v>
      </c>
      <c r="KJ589" t="s">
        <v>1</v>
      </c>
      <c r="KK589" t="s">
        <v>1</v>
      </c>
    </row>
    <row r="590" spans="1:297" x14ac:dyDescent="0.2">
      <c r="A590">
        <v>558</v>
      </c>
      <c r="B590" t="s">
        <v>705</v>
      </c>
      <c r="C590" t="s">
        <v>686</v>
      </c>
      <c r="D590" t="s">
        <v>697</v>
      </c>
      <c r="E590">
        <v>91</v>
      </c>
      <c r="F590" t="s">
        <v>682</v>
      </c>
      <c r="G590" t="s">
        <v>1</v>
      </c>
      <c r="H590" s="26" t="s">
        <v>1420</v>
      </c>
      <c r="I590" t="s">
        <v>1</v>
      </c>
      <c r="J590" t="s">
        <v>1</v>
      </c>
      <c r="K590" t="s">
        <v>1</v>
      </c>
      <c r="L590" t="s">
        <v>1</v>
      </c>
      <c r="M590" t="s">
        <v>1</v>
      </c>
      <c r="N590" t="s">
        <v>1</v>
      </c>
      <c r="O590" t="s">
        <v>1</v>
      </c>
      <c r="P590" t="s">
        <v>1</v>
      </c>
      <c r="Q590" t="s">
        <v>1</v>
      </c>
      <c r="R590" t="s">
        <v>1</v>
      </c>
      <c r="S590" t="s">
        <v>1</v>
      </c>
      <c r="T590" t="s">
        <v>1</v>
      </c>
      <c r="U590" t="s">
        <v>1</v>
      </c>
      <c r="V590" t="s">
        <v>1</v>
      </c>
      <c r="W590" t="s">
        <v>1</v>
      </c>
      <c r="X590" t="s">
        <v>1</v>
      </c>
      <c r="Y590" t="s">
        <v>1</v>
      </c>
      <c r="Z590" t="s">
        <v>1</v>
      </c>
      <c r="AA590" t="s">
        <v>1</v>
      </c>
      <c r="AB590" t="s">
        <v>1</v>
      </c>
      <c r="AC590" t="s">
        <v>1</v>
      </c>
      <c r="AD590" t="s">
        <v>1</v>
      </c>
      <c r="AE590" t="s">
        <v>1</v>
      </c>
      <c r="AF590" t="s">
        <v>1</v>
      </c>
      <c r="AG590" t="s">
        <v>1</v>
      </c>
      <c r="AH590" t="s">
        <v>1</v>
      </c>
      <c r="AI590" t="s">
        <v>1</v>
      </c>
      <c r="AJ590" t="s">
        <v>1</v>
      </c>
      <c r="AK590" t="s">
        <v>1</v>
      </c>
      <c r="AL590" t="s">
        <v>1</v>
      </c>
      <c r="AM590" t="s">
        <v>1</v>
      </c>
      <c r="AN590">
        <v>558</v>
      </c>
      <c r="AO590">
        <f t="shared" si="74"/>
        <v>558</v>
      </c>
      <c r="AP590">
        <f t="shared" si="76"/>
        <v>91</v>
      </c>
      <c r="AQ590">
        <f t="shared" si="75"/>
        <v>91</v>
      </c>
      <c r="AR590" s="26" t="s">
        <v>1355</v>
      </c>
      <c r="AS590" s="26" t="s">
        <v>1356</v>
      </c>
      <c r="AT590" t="s">
        <v>714</v>
      </c>
      <c r="AU590" t="s">
        <v>1</v>
      </c>
      <c r="AV590" t="s">
        <v>1</v>
      </c>
      <c r="AW590">
        <v>59.82</v>
      </c>
      <c r="AX590">
        <v>17.649999999999999</v>
      </c>
      <c r="AY590" t="s">
        <v>737</v>
      </c>
      <c r="BA590" s="3">
        <v>3</v>
      </c>
      <c r="BB590" s="3"/>
      <c r="BC590" s="3"/>
      <c r="BD590" s="3"/>
      <c r="BE590" s="3"/>
      <c r="BF590">
        <v>2005</v>
      </c>
      <c r="BG590" s="24" t="s">
        <v>733</v>
      </c>
      <c r="BH590" s="24" t="s">
        <v>733</v>
      </c>
      <c r="BI590" s="24" t="s">
        <v>733</v>
      </c>
      <c r="BJ590" s="24" t="s">
        <v>732</v>
      </c>
      <c r="BK590" s="24" t="s">
        <v>733</v>
      </c>
      <c r="BL590" s="25" t="s">
        <v>733</v>
      </c>
      <c r="BM590" s="24" t="s">
        <v>733</v>
      </c>
      <c r="BN590" s="24" t="s">
        <v>732</v>
      </c>
      <c r="BO590" s="24" t="s">
        <v>733</v>
      </c>
      <c r="BP590" s="24" t="s">
        <v>733</v>
      </c>
      <c r="BQ590" s="24" t="s">
        <v>945</v>
      </c>
      <c r="BR590" s="24" t="s">
        <v>945</v>
      </c>
      <c r="BS590" s="25" t="s">
        <v>934</v>
      </c>
      <c r="BT590" s="24" t="s">
        <v>934</v>
      </c>
      <c r="BU590" s="24" t="s">
        <v>934</v>
      </c>
      <c r="BV590" s="24" t="s">
        <v>934</v>
      </c>
      <c r="BW590" s="24" t="s">
        <v>934</v>
      </c>
      <c r="BX590" s="24" t="s">
        <v>934</v>
      </c>
      <c r="BY590" s="25" t="s">
        <v>945</v>
      </c>
      <c r="BZ590" t="s">
        <v>788</v>
      </c>
      <c r="CB590" t="s">
        <v>1409</v>
      </c>
      <c r="CC590" s="34">
        <f>AVERAGE(4385,4678,0)</f>
        <v>3021</v>
      </c>
      <c r="CD590" s="34"/>
      <c r="CE590" s="34"/>
      <c r="CF590" t="s">
        <v>793</v>
      </c>
      <c r="CG590">
        <v>100</v>
      </c>
      <c r="CH590" t="s">
        <v>805</v>
      </c>
      <c r="CI590" s="28">
        <f t="shared" si="78"/>
        <v>1</v>
      </c>
      <c r="CJ590" s="10" t="s">
        <v>1442</v>
      </c>
      <c r="CK590" t="s">
        <v>807</v>
      </c>
      <c r="CL590" s="4">
        <f>AVERAGE(6148,5660,0)</f>
        <v>3936</v>
      </c>
      <c r="CM590" t="s">
        <v>847</v>
      </c>
      <c r="CN590" s="4">
        <f>AVERAGE(123,98,0)</f>
        <v>73.666666666666671</v>
      </c>
      <c r="CO590" s="4" t="s">
        <v>1</v>
      </c>
      <c r="CP590" s="4" t="s">
        <v>1</v>
      </c>
      <c r="CQ590" s="4" t="s">
        <v>1</v>
      </c>
      <c r="CR590" s="4" t="s">
        <v>1</v>
      </c>
      <c r="CS590" s="4" t="s">
        <v>1</v>
      </c>
      <c r="CT590" s="4" t="s">
        <v>1</v>
      </c>
      <c r="CU590" s="4" t="s">
        <v>1</v>
      </c>
      <c r="CV590" t="s">
        <v>853</v>
      </c>
      <c r="CW590">
        <v>100</v>
      </c>
      <c r="CX590">
        <v>0</v>
      </c>
      <c r="CY590">
        <v>30</v>
      </c>
      <c r="CZ590" s="26" t="s">
        <v>1358</v>
      </c>
      <c r="DA590" t="s">
        <v>734</v>
      </c>
      <c r="DB590">
        <v>91.6</v>
      </c>
      <c r="DC590">
        <v>0</v>
      </c>
      <c r="DD590">
        <v>30</v>
      </c>
      <c r="DE590" s="26" t="s">
        <v>1358</v>
      </c>
      <c r="DF590" t="s">
        <v>735</v>
      </c>
      <c r="DG590">
        <v>5.6</v>
      </c>
      <c r="DH590">
        <v>0</v>
      </c>
      <c r="DI590">
        <v>30</v>
      </c>
      <c r="DJ590" s="26" t="s">
        <v>1358</v>
      </c>
      <c r="DK590" t="s">
        <v>736</v>
      </c>
      <c r="DL590">
        <v>2.8</v>
      </c>
      <c r="DM590">
        <v>0</v>
      </c>
      <c r="DN590">
        <v>30</v>
      </c>
      <c r="DO590" s="26" t="s">
        <v>1358</v>
      </c>
      <c r="DP590" t="s">
        <v>6</v>
      </c>
      <c r="DQ590" t="s">
        <v>813</v>
      </c>
      <c r="DR590">
        <v>6.3</v>
      </c>
      <c r="DS590">
        <v>0</v>
      </c>
      <c r="DT590">
        <v>30</v>
      </c>
      <c r="DU590" s="26" t="s">
        <v>1358</v>
      </c>
      <c r="EA590" t="s">
        <v>982</v>
      </c>
      <c r="EB590">
        <v>10</v>
      </c>
      <c r="EC590">
        <v>0</v>
      </c>
      <c r="ED590">
        <v>30</v>
      </c>
      <c r="EE590" s="26" t="s">
        <v>1358</v>
      </c>
      <c r="EF590" s="26"/>
      <c r="FZ590" t="s">
        <v>806</v>
      </c>
      <c r="GA590">
        <v>581.66666669999995</v>
      </c>
      <c r="GE590" s="26" t="s">
        <v>1358</v>
      </c>
      <c r="HA590" s="5" t="s">
        <v>1069</v>
      </c>
      <c r="HB590" s="4">
        <v>3.5400000000000005</v>
      </c>
      <c r="HC590">
        <v>0</v>
      </c>
      <c r="HD590">
        <v>30</v>
      </c>
      <c r="HE590" s="26" t="s">
        <v>1358</v>
      </c>
      <c r="HF590" s="5" t="s">
        <v>1063</v>
      </c>
      <c r="HG590" s="4">
        <v>0.8</v>
      </c>
      <c r="HH590">
        <v>0</v>
      </c>
      <c r="HI590">
        <v>30</v>
      </c>
      <c r="HJ590" s="26" t="s">
        <v>1358</v>
      </c>
      <c r="HK590" t="s">
        <v>1</v>
      </c>
      <c r="HL590" t="s">
        <v>1</v>
      </c>
      <c r="HM590" t="s">
        <v>1</v>
      </c>
      <c r="HN590" t="s">
        <v>1</v>
      </c>
      <c r="HO590" t="s">
        <v>1</v>
      </c>
      <c r="HP590" t="s">
        <v>1</v>
      </c>
      <c r="HZ590" t="s">
        <v>1</v>
      </c>
      <c r="IA590" t="s">
        <v>1</v>
      </c>
      <c r="IB590" s="10" t="s">
        <v>1</v>
      </c>
      <c r="IC590" s="10"/>
      <c r="ID590" s="10"/>
      <c r="IE590" s="10" t="s">
        <v>1</v>
      </c>
      <c r="IF590" s="10" t="s">
        <v>1</v>
      </c>
      <c r="IG590" s="10"/>
      <c r="IH590" s="10"/>
      <c r="II590" s="10"/>
      <c r="IJ590" s="10"/>
      <c r="IK590" s="10"/>
      <c r="IL590" s="10"/>
      <c r="IM590" s="10"/>
      <c r="IN590" s="10"/>
      <c r="IO590" s="10"/>
      <c r="IP590" s="10"/>
      <c r="IQ590" s="10"/>
      <c r="IR590" s="10"/>
      <c r="IS590" t="s">
        <v>1</v>
      </c>
      <c r="IT590" t="s">
        <v>1</v>
      </c>
      <c r="IW590" t="s">
        <v>979</v>
      </c>
      <c r="IX590">
        <v>100</v>
      </c>
      <c r="IY590" t="s">
        <v>808</v>
      </c>
      <c r="IZ590">
        <v>500</v>
      </c>
      <c r="JA590" t="s">
        <v>1</v>
      </c>
      <c r="JB590" s="3" t="s">
        <v>1</v>
      </c>
      <c r="JC590" t="s">
        <v>1</v>
      </c>
      <c r="JD590" s="4" t="s">
        <v>1</v>
      </c>
      <c r="JE590" t="s">
        <v>1</v>
      </c>
      <c r="JF590" t="s">
        <v>1</v>
      </c>
      <c r="JR590" t="s">
        <v>1066</v>
      </c>
      <c r="JS590">
        <v>567.5</v>
      </c>
      <c r="JU590" t="s">
        <v>1</v>
      </c>
      <c r="JW590" t="s">
        <v>1</v>
      </c>
      <c r="JX590">
        <v>0</v>
      </c>
      <c r="JY590">
        <v>100</v>
      </c>
      <c r="JZ590" t="s">
        <v>796</v>
      </c>
      <c r="KA590" t="s">
        <v>683</v>
      </c>
      <c r="KB590" t="s">
        <v>738</v>
      </c>
      <c r="KC590" t="s">
        <v>1</v>
      </c>
      <c r="KD590" t="s">
        <v>1</v>
      </c>
      <c r="KE590" t="s">
        <v>1</v>
      </c>
      <c r="KF590" t="s">
        <v>1</v>
      </c>
      <c r="KG590" t="s">
        <v>1</v>
      </c>
      <c r="KH590" t="s">
        <v>1</v>
      </c>
      <c r="KI590" t="s">
        <v>1</v>
      </c>
      <c r="KJ590" t="s">
        <v>1</v>
      </c>
      <c r="KK590" t="s">
        <v>1</v>
      </c>
    </row>
    <row r="591" spans="1:297" x14ac:dyDescent="0.2">
      <c r="A591">
        <v>559</v>
      </c>
      <c r="B591" t="s">
        <v>705</v>
      </c>
      <c r="C591" t="s">
        <v>687</v>
      </c>
      <c r="D591" t="s">
        <v>697</v>
      </c>
      <c r="E591">
        <v>91</v>
      </c>
      <c r="F591" t="s">
        <v>682</v>
      </c>
      <c r="G591" t="s">
        <v>1</v>
      </c>
      <c r="H591" s="26" t="s">
        <v>1420</v>
      </c>
      <c r="I591" t="s">
        <v>1</v>
      </c>
      <c r="J591" t="s">
        <v>1</v>
      </c>
      <c r="K591" t="s">
        <v>1</v>
      </c>
      <c r="L591" t="s">
        <v>1</v>
      </c>
      <c r="M591" t="s">
        <v>1</v>
      </c>
      <c r="N591" t="s">
        <v>1</v>
      </c>
      <c r="O591" t="s">
        <v>1</v>
      </c>
      <c r="P591" t="s">
        <v>1</v>
      </c>
      <c r="Q591" t="s">
        <v>1</v>
      </c>
      <c r="R591" t="s">
        <v>1</v>
      </c>
      <c r="S591" t="s">
        <v>1</v>
      </c>
      <c r="T591" t="s">
        <v>1</v>
      </c>
      <c r="U591" t="s">
        <v>1</v>
      </c>
      <c r="V591" t="s">
        <v>1</v>
      </c>
      <c r="W591" t="s">
        <v>1</v>
      </c>
      <c r="X591" t="s">
        <v>1</v>
      </c>
      <c r="Y591" t="s">
        <v>1</v>
      </c>
      <c r="Z591" t="s">
        <v>1</v>
      </c>
      <c r="AA591" t="s">
        <v>1</v>
      </c>
      <c r="AB591" t="s">
        <v>1</v>
      </c>
      <c r="AC591" t="s">
        <v>1</v>
      </c>
      <c r="AD591" t="s">
        <v>1</v>
      </c>
      <c r="AE591" t="s">
        <v>1</v>
      </c>
      <c r="AF591" t="s">
        <v>1</v>
      </c>
      <c r="AG591" t="s">
        <v>1</v>
      </c>
      <c r="AH591" t="s">
        <v>1</v>
      </c>
      <c r="AI591" t="s">
        <v>1</v>
      </c>
      <c r="AJ591" t="s">
        <v>1</v>
      </c>
      <c r="AK591" t="s">
        <v>1</v>
      </c>
      <c r="AL591" t="s">
        <v>1</v>
      </c>
      <c r="AM591" t="s">
        <v>1</v>
      </c>
      <c r="AN591">
        <v>559</v>
      </c>
      <c r="AO591">
        <f t="shared" si="74"/>
        <v>559</v>
      </c>
      <c r="AP591">
        <f t="shared" si="76"/>
        <v>91</v>
      </c>
      <c r="AQ591">
        <f t="shared" si="75"/>
        <v>91</v>
      </c>
      <c r="AR591" s="26" t="s">
        <v>1355</v>
      </c>
      <c r="AS591" s="26" t="s">
        <v>1356</v>
      </c>
      <c r="AT591" t="s">
        <v>714</v>
      </c>
      <c r="AU591" t="s">
        <v>1</v>
      </c>
      <c r="AV591" t="s">
        <v>1</v>
      </c>
      <c r="AW591">
        <v>59.82</v>
      </c>
      <c r="AX591">
        <v>17.649999999999999</v>
      </c>
      <c r="AY591" t="s">
        <v>737</v>
      </c>
      <c r="BA591" s="3">
        <v>3</v>
      </c>
      <c r="BB591" s="3"/>
      <c r="BC591" s="3"/>
      <c r="BD591" s="3"/>
      <c r="BE591" s="3"/>
      <c r="BF591">
        <v>2005</v>
      </c>
      <c r="BG591" s="24" t="s">
        <v>733</v>
      </c>
      <c r="BH591" s="24" t="s">
        <v>733</v>
      </c>
      <c r="BI591" s="24" t="s">
        <v>733</v>
      </c>
      <c r="BJ591" s="24" t="s">
        <v>732</v>
      </c>
      <c r="BK591" s="24" t="s">
        <v>733</v>
      </c>
      <c r="BL591" s="25" t="s">
        <v>733</v>
      </c>
      <c r="BM591" s="24" t="s">
        <v>733</v>
      </c>
      <c r="BN591" s="24" t="s">
        <v>732</v>
      </c>
      <c r="BO591" s="24" t="s">
        <v>733</v>
      </c>
      <c r="BP591" s="24" t="s">
        <v>733</v>
      </c>
      <c r="BQ591" s="24" t="s">
        <v>945</v>
      </c>
      <c r="BR591" s="24" t="s">
        <v>945</v>
      </c>
      <c r="BS591" s="25" t="s">
        <v>934</v>
      </c>
      <c r="BT591" s="24" t="s">
        <v>934</v>
      </c>
      <c r="BU591" s="24" t="s">
        <v>934</v>
      </c>
      <c r="BV591" s="24" t="s">
        <v>934</v>
      </c>
      <c r="BW591" s="24" t="s">
        <v>934</v>
      </c>
      <c r="BX591" s="24" t="s">
        <v>934</v>
      </c>
      <c r="BY591" s="25" t="s">
        <v>945</v>
      </c>
      <c r="BZ591" t="s">
        <v>788</v>
      </c>
      <c r="CB591" t="s">
        <v>1409</v>
      </c>
      <c r="CC591" s="34">
        <f>AVERAGE(3996,4312,0)</f>
        <v>2769.3333333333335</v>
      </c>
      <c r="CD591" s="34"/>
      <c r="CE591" s="34"/>
      <c r="CF591" t="s">
        <v>793</v>
      </c>
      <c r="CG591">
        <v>100</v>
      </c>
      <c r="CH591" t="s">
        <v>805</v>
      </c>
      <c r="CI591" s="28">
        <f t="shared" si="78"/>
        <v>1</v>
      </c>
      <c r="CJ591" s="10" t="s">
        <v>1442</v>
      </c>
      <c r="CK591" t="s">
        <v>807</v>
      </c>
      <c r="CL591" s="4">
        <f>AVERAGE(6606,6116,0)</f>
        <v>4240.666666666667</v>
      </c>
      <c r="CM591" t="s">
        <v>847</v>
      </c>
      <c r="CN591" s="4">
        <f>AVERAGE(153,108,0)</f>
        <v>87</v>
      </c>
      <c r="CO591" s="4" t="s">
        <v>1</v>
      </c>
      <c r="CP591" s="4" t="s">
        <v>1</v>
      </c>
      <c r="CQ591" s="4" t="s">
        <v>1</v>
      </c>
      <c r="CR591" s="4" t="s">
        <v>1</v>
      </c>
      <c r="CS591" s="4" t="s">
        <v>1</v>
      </c>
      <c r="CT591" s="4" t="s">
        <v>1</v>
      </c>
      <c r="CU591" s="4" t="s">
        <v>1</v>
      </c>
      <c r="CV591" t="s">
        <v>853</v>
      </c>
      <c r="CW591">
        <v>100</v>
      </c>
      <c r="CX591">
        <v>0</v>
      </c>
      <c r="CY591">
        <v>30</v>
      </c>
      <c r="CZ591" s="26" t="s">
        <v>1358</v>
      </c>
      <c r="DA591" t="s">
        <v>734</v>
      </c>
      <c r="DB591">
        <v>91.6</v>
      </c>
      <c r="DC591">
        <v>0</v>
      </c>
      <c r="DD591">
        <v>30</v>
      </c>
      <c r="DE591" s="26" t="s">
        <v>1358</v>
      </c>
      <c r="DF591" t="s">
        <v>735</v>
      </c>
      <c r="DG591">
        <v>5.6</v>
      </c>
      <c r="DH591">
        <v>0</v>
      </c>
      <c r="DI591">
        <v>30</v>
      </c>
      <c r="DJ591" s="26" t="s">
        <v>1358</v>
      </c>
      <c r="DK591" t="s">
        <v>736</v>
      </c>
      <c r="DL591">
        <v>2.8</v>
      </c>
      <c r="DM591">
        <v>0</v>
      </c>
      <c r="DN591">
        <v>30</v>
      </c>
      <c r="DO591" s="26" t="s">
        <v>1358</v>
      </c>
      <c r="DP591" t="s">
        <v>6</v>
      </c>
      <c r="DQ591" t="s">
        <v>813</v>
      </c>
      <c r="DR591">
        <v>6.3</v>
      </c>
      <c r="DS591">
        <v>0</v>
      </c>
      <c r="DT591">
        <v>30</v>
      </c>
      <c r="DU591" s="26" t="s">
        <v>1358</v>
      </c>
      <c r="EA591" t="s">
        <v>982</v>
      </c>
      <c r="EB591">
        <v>10</v>
      </c>
      <c r="EC591">
        <v>0</v>
      </c>
      <c r="ED591">
        <v>30</v>
      </c>
      <c r="EE591" s="26" t="s">
        <v>1358</v>
      </c>
      <c r="EF591" s="26"/>
      <c r="FZ591" t="s">
        <v>806</v>
      </c>
      <c r="GA591">
        <v>581.66666669999995</v>
      </c>
      <c r="GE591" s="26" t="s">
        <v>1358</v>
      </c>
      <c r="HA591" s="5" t="s">
        <v>1069</v>
      </c>
      <c r="HB591" s="4">
        <v>3.5400000000000005</v>
      </c>
      <c r="HC591">
        <v>0</v>
      </c>
      <c r="HD591">
        <v>30</v>
      </c>
      <c r="HE591" s="26" t="s">
        <v>1358</v>
      </c>
      <c r="HF591" s="5" t="s">
        <v>1063</v>
      </c>
      <c r="HG591" s="4">
        <v>0.8</v>
      </c>
      <c r="HH591">
        <v>0</v>
      </c>
      <c r="HI591">
        <v>30</v>
      </c>
      <c r="HJ591" s="26" t="s">
        <v>1358</v>
      </c>
      <c r="HK591" t="s">
        <v>1</v>
      </c>
      <c r="HL591" t="s">
        <v>1</v>
      </c>
      <c r="HM591" t="s">
        <v>1</v>
      </c>
      <c r="HN591" t="s">
        <v>1</v>
      </c>
      <c r="HO591" t="s">
        <v>1</v>
      </c>
      <c r="HP591" t="s">
        <v>1</v>
      </c>
      <c r="HZ591" t="s">
        <v>1</v>
      </c>
      <c r="IA591" t="s">
        <v>1</v>
      </c>
      <c r="IB591" s="10" t="s">
        <v>1</v>
      </c>
      <c r="IC591" s="10"/>
      <c r="ID591" s="10"/>
      <c r="IE591" s="10" t="s">
        <v>1</v>
      </c>
      <c r="IF591" s="10" t="s">
        <v>1</v>
      </c>
      <c r="IG591" s="10"/>
      <c r="IH591" s="10"/>
      <c r="II591" s="10"/>
      <c r="IJ591" s="10"/>
      <c r="IK591" s="10"/>
      <c r="IL591" s="10"/>
      <c r="IM591" s="10"/>
      <c r="IN591" s="10"/>
      <c r="IO591" s="10"/>
      <c r="IP591" s="10"/>
      <c r="IQ591" s="10"/>
      <c r="IR591" s="10"/>
      <c r="IS591" t="s">
        <v>1</v>
      </c>
      <c r="IT591" t="s">
        <v>1</v>
      </c>
      <c r="IW591" t="s">
        <v>979</v>
      </c>
      <c r="IX591">
        <v>133</v>
      </c>
      <c r="IY591" t="s">
        <v>808</v>
      </c>
      <c r="IZ591">
        <v>500</v>
      </c>
      <c r="JA591" t="s">
        <v>1</v>
      </c>
      <c r="JB591" s="3" t="s">
        <v>1</v>
      </c>
      <c r="JC591" t="s">
        <v>1</v>
      </c>
      <c r="JD591" s="4" t="s">
        <v>1</v>
      </c>
      <c r="JE591" t="s">
        <v>1</v>
      </c>
      <c r="JF591" t="s">
        <v>1</v>
      </c>
      <c r="JR591" t="s">
        <v>1066</v>
      </c>
      <c r="JS591">
        <v>616.20000000000005</v>
      </c>
      <c r="JU591" t="s">
        <v>1</v>
      </c>
      <c r="JW591" t="s">
        <v>1</v>
      </c>
      <c r="JX591">
        <v>0</v>
      </c>
      <c r="JY591">
        <v>100</v>
      </c>
      <c r="JZ591" t="s">
        <v>796</v>
      </c>
      <c r="KA591" t="s">
        <v>683</v>
      </c>
      <c r="KB591" t="s">
        <v>738</v>
      </c>
      <c r="KC591" t="s">
        <v>1</v>
      </c>
      <c r="KD591" t="s">
        <v>1</v>
      </c>
      <c r="KE591" t="s">
        <v>1</v>
      </c>
      <c r="KF591" t="s">
        <v>1</v>
      </c>
      <c r="KG591" t="s">
        <v>1</v>
      </c>
      <c r="KH591" t="s">
        <v>1</v>
      </c>
      <c r="KI591" t="s">
        <v>1</v>
      </c>
      <c r="KJ591" t="s">
        <v>1</v>
      </c>
      <c r="KK591" t="s">
        <v>1</v>
      </c>
    </row>
    <row r="592" spans="1:297" x14ac:dyDescent="0.2">
      <c r="A592" t="s">
        <v>1</v>
      </c>
      <c r="B592" t="s">
        <v>1</v>
      </c>
      <c r="C592" t="s">
        <v>1</v>
      </c>
      <c r="D592" t="s">
        <v>1</v>
      </c>
      <c r="E592" t="s">
        <v>1</v>
      </c>
      <c r="F592" t="s">
        <v>1</v>
      </c>
      <c r="G592" t="s">
        <v>1</v>
      </c>
      <c r="H592" t="s">
        <v>1</v>
      </c>
      <c r="I592" t="s">
        <v>1</v>
      </c>
      <c r="J592" t="s">
        <v>1</v>
      </c>
      <c r="K592" t="s">
        <v>1</v>
      </c>
      <c r="L592" t="s">
        <v>1</v>
      </c>
      <c r="M592" t="s">
        <v>1</v>
      </c>
      <c r="N592" t="s">
        <v>1</v>
      </c>
      <c r="O592" t="s">
        <v>1</v>
      </c>
      <c r="P592" t="s">
        <v>1</v>
      </c>
      <c r="Q592" t="s">
        <v>1</v>
      </c>
      <c r="R592" t="s">
        <v>1</v>
      </c>
      <c r="S592" t="s">
        <v>1</v>
      </c>
      <c r="T592" t="s">
        <v>1</v>
      </c>
      <c r="U592" t="s">
        <v>1</v>
      </c>
      <c r="V592" t="s">
        <v>1</v>
      </c>
      <c r="W592" t="s">
        <v>1</v>
      </c>
      <c r="X592" t="s">
        <v>1</v>
      </c>
      <c r="Y592" t="s">
        <v>1</v>
      </c>
      <c r="Z592" t="s">
        <v>1</v>
      </c>
      <c r="AA592" t="s">
        <v>1</v>
      </c>
      <c r="AB592" t="s">
        <v>1</v>
      </c>
      <c r="AC592" t="s">
        <v>1</v>
      </c>
      <c r="AD592" t="s">
        <v>1</v>
      </c>
      <c r="AE592" t="s">
        <v>1</v>
      </c>
      <c r="AF592" t="s">
        <v>1</v>
      </c>
      <c r="AG592" t="s">
        <v>1</v>
      </c>
      <c r="AH592" t="s">
        <v>1</v>
      </c>
      <c r="AI592" t="s">
        <v>1</v>
      </c>
      <c r="AJ592" t="s">
        <v>1</v>
      </c>
      <c r="AK592" t="s">
        <v>1</v>
      </c>
      <c r="AL592" t="s">
        <v>1</v>
      </c>
      <c r="AM592" t="s">
        <v>1</v>
      </c>
      <c r="AN592" t="s">
        <v>1</v>
      </c>
      <c r="AO592" t="s">
        <v>1</v>
      </c>
      <c r="AP592" t="s">
        <v>1</v>
      </c>
      <c r="AQ592" t="s">
        <v>1</v>
      </c>
      <c r="AR592" t="s">
        <v>1</v>
      </c>
      <c r="AS592" t="s">
        <v>1</v>
      </c>
      <c r="AT592" t="s">
        <v>1</v>
      </c>
      <c r="AU592" t="s">
        <v>1</v>
      </c>
      <c r="AV592" t="s">
        <v>1</v>
      </c>
      <c r="AW592" t="s">
        <v>1</v>
      </c>
      <c r="AX592" t="s">
        <v>1</v>
      </c>
      <c r="AY592" t="s">
        <v>1</v>
      </c>
      <c r="AZ592" t="s">
        <v>1</v>
      </c>
      <c r="BA592" t="s">
        <v>1</v>
      </c>
      <c r="BD592" t="s">
        <v>1</v>
      </c>
      <c r="BE592" t="s">
        <v>1</v>
      </c>
      <c r="BF592" t="s">
        <v>1</v>
      </c>
      <c r="BG592" t="s">
        <v>1</v>
      </c>
      <c r="BH592" t="s">
        <v>1</v>
      </c>
      <c r="BI592" t="s">
        <v>1</v>
      </c>
      <c r="BJ592" t="s">
        <v>1</v>
      </c>
      <c r="BK592" t="s">
        <v>1</v>
      </c>
      <c r="BL592" t="s">
        <v>1</v>
      </c>
      <c r="BM592" t="s">
        <v>1</v>
      </c>
      <c r="BN592" t="s">
        <v>1</v>
      </c>
      <c r="BO592" t="s">
        <v>1</v>
      </c>
      <c r="BP592" t="s">
        <v>1</v>
      </c>
      <c r="BQ592" t="s">
        <v>1</v>
      </c>
      <c r="BR592" t="s">
        <v>1</v>
      </c>
      <c r="BS592" t="s">
        <v>1</v>
      </c>
      <c r="BT592" t="s">
        <v>1</v>
      </c>
      <c r="BU592" t="s">
        <v>1</v>
      </c>
      <c r="BV592" t="s">
        <v>1</v>
      </c>
      <c r="BW592" t="s">
        <v>1</v>
      </c>
      <c r="BX592" t="s">
        <v>1</v>
      </c>
      <c r="BY592" t="s">
        <v>1</v>
      </c>
      <c r="BZ592" t="s">
        <v>1</v>
      </c>
      <c r="CA592" t="s">
        <v>1</v>
      </c>
      <c r="CB592" t="s">
        <v>1</v>
      </c>
      <c r="CC592" t="s">
        <v>1</v>
      </c>
      <c r="CD592" t="s">
        <v>1</v>
      </c>
      <c r="CE592" t="s">
        <v>1</v>
      </c>
      <c r="CF592" t="s">
        <v>1</v>
      </c>
      <c r="CG592" t="s">
        <v>1</v>
      </c>
      <c r="CH592" t="s">
        <v>1</v>
      </c>
      <c r="CI592" t="s">
        <v>1</v>
      </c>
      <c r="CJ592" t="s">
        <v>1</v>
      </c>
      <c r="CK592" t="s">
        <v>1</v>
      </c>
      <c r="CL592" t="s">
        <v>1</v>
      </c>
      <c r="CM592" t="s">
        <v>1</v>
      </c>
      <c r="CN592" t="s">
        <v>1</v>
      </c>
      <c r="CO592" t="s">
        <v>1</v>
      </c>
      <c r="CP592" s="4" t="s">
        <v>1</v>
      </c>
      <c r="CQ592" s="4" t="s">
        <v>1</v>
      </c>
      <c r="CR592" s="4" t="s">
        <v>1</v>
      </c>
      <c r="CS592" s="4" t="s">
        <v>1</v>
      </c>
      <c r="CT592" s="4" t="s">
        <v>1</v>
      </c>
      <c r="CU592" s="4" t="s">
        <v>1</v>
      </c>
      <c r="CV592" t="s">
        <v>1</v>
      </c>
      <c r="CW592" t="s">
        <v>1</v>
      </c>
      <c r="CX592" t="s">
        <v>1</v>
      </c>
      <c r="CY592" t="s">
        <v>1</v>
      </c>
      <c r="CZ592" t="s">
        <v>1</v>
      </c>
      <c r="DA592" t="s">
        <v>1</v>
      </c>
      <c r="DB592" t="s">
        <v>1</v>
      </c>
      <c r="DC592" t="s">
        <v>1</v>
      </c>
      <c r="DD592" t="s">
        <v>1</v>
      </c>
      <c r="DE592" t="s">
        <v>1</v>
      </c>
      <c r="DF592" t="s">
        <v>1</v>
      </c>
      <c r="DG592" t="s">
        <v>1</v>
      </c>
      <c r="DH592" t="s">
        <v>1</v>
      </c>
      <c r="DI592" t="s">
        <v>1</v>
      </c>
      <c r="DJ592" t="s">
        <v>1</v>
      </c>
      <c r="DK592" t="s">
        <v>1</v>
      </c>
      <c r="DL592" t="s">
        <v>1</v>
      </c>
      <c r="DM592" t="s">
        <v>1</v>
      </c>
      <c r="DN592" t="s">
        <v>1</v>
      </c>
      <c r="DO592" t="s">
        <v>1</v>
      </c>
      <c r="DP592" t="s">
        <v>1</v>
      </c>
      <c r="DQ592" t="s">
        <v>1</v>
      </c>
      <c r="DR592" t="s">
        <v>1</v>
      </c>
      <c r="DS592" t="s">
        <v>1</v>
      </c>
      <c r="DT592" t="s">
        <v>1</v>
      </c>
      <c r="DU592" t="s">
        <v>1</v>
      </c>
      <c r="DV592" t="s">
        <v>1</v>
      </c>
      <c r="DW592" t="s">
        <v>1</v>
      </c>
      <c r="DX592" t="s">
        <v>1</v>
      </c>
      <c r="DY592" t="s">
        <v>1</v>
      </c>
      <c r="DZ592" t="s">
        <v>1</v>
      </c>
      <c r="EA592" t="s">
        <v>1</v>
      </c>
      <c r="EB592" t="s">
        <v>1</v>
      </c>
      <c r="EC592" t="s">
        <v>1</v>
      </c>
      <c r="ED592" t="s">
        <v>1</v>
      </c>
      <c r="EE592" t="s">
        <v>1</v>
      </c>
      <c r="EG592" t="s">
        <v>1</v>
      </c>
      <c r="EH592" t="s">
        <v>1</v>
      </c>
      <c r="EI592" t="s">
        <v>1</v>
      </c>
      <c r="EJ592" t="s">
        <v>1</v>
      </c>
      <c r="EK592" t="s">
        <v>1</v>
      </c>
      <c r="EL592" t="s">
        <v>1</v>
      </c>
      <c r="EM592" t="s">
        <v>1</v>
      </c>
      <c r="EN592" t="s">
        <v>1</v>
      </c>
      <c r="EO592" t="s">
        <v>1</v>
      </c>
      <c r="EP592" t="s">
        <v>1</v>
      </c>
      <c r="EQ592" t="s">
        <v>1</v>
      </c>
      <c r="ER592" t="s">
        <v>1</v>
      </c>
      <c r="ES592" t="s">
        <v>1</v>
      </c>
      <c r="ET592" t="s">
        <v>1</v>
      </c>
      <c r="EU592" t="s">
        <v>1</v>
      </c>
      <c r="EV592" t="s">
        <v>1</v>
      </c>
      <c r="EW592" t="s">
        <v>1</v>
      </c>
      <c r="EX592" t="s">
        <v>1</v>
      </c>
      <c r="EY592" t="s">
        <v>1</v>
      </c>
      <c r="EZ592" t="s">
        <v>1</v>
      </c>
      <c r="FA592" t="s">
        <v>1</v>
      </c>
      <c r="FB592" t="s">
        <v>1</v>
      </c>
      <c r="FC592" t="s">
        <v>1</v>
      </c>
      <c r="FD592" t="s">
        <v>1</v>
      </c>
      <c r="FE592" t="s">
        <v>1</v>
      </c>
      <c r="FF592" t="s">
        <v>1</v>
      </c>
      <c r="FG592" t="s">
        <v>1</v>
      </c>
      <c r="FH592" t="s">
        <v>1</v>
      </c>
      <c r="FI592" t="s">
        <v>1</v>
      </c>
      <c r="FJ592" t="s">
        <v>1</v>
      </c>
      <c r="FK592" t="s">
        <v>1</v>
      </c>
      <c r="FL592" t="s">
        <v>1</v>
      </c>
      <c r="FM592" t="s">
        <v>1</v>
      </c>
      <c r="FN592" t="s">
        <v>1</v>
      </c>
      <c r="FO592" t="s">
        <v>1</v>
      </c>
      <c r="FP592" t="s">
        <v>1</v>
      </c>
      <c r="FQ592" t="s">
        <v>1</v>
      </c>
      <c r="FR592" t="s">
        <v>1</v>
      </c>
      <c r="FS592" t="s">
        <v>1</v>
      </c>
      <c r="FT592" t="s">
        <v>1</v>
      </c>
      <c r="FU592" t="s">
        <v>1</v>
      </c>
      <c r="FV592" t="s">
        <v>1</v>
      </c>
      <c r="FW592" t="s">
        <v>1</v>
      </c>
      <c r="FX592" t="s">
        <v>1</v>
      </c>
      <c r="FY592" t="s">
        <v>1</v>
      </c>
      <c r="FZ592" t="s">
        <v>1</v>
      </c>
      <c r="GA592" t="s">
        <v>1</v>
      </c>
      <c r="GB592" t="s">
        <v>1</v>
      </c>
      <c r="GC592" t="s">
        <v>1</v>
      </c>
      <c r="GD592" t="s">
        <v>1</v>
      </c>
      <c r="GE592" t="s">
        <v>1</v>
      </c>
      <c r="GF592" t="s">
        <v>1</v>
      </c>
      <c r="GG592" t="s">
        <v>1</v>
      </c>
      <c r="GH592" t="s">
        <v>1</v>
      </c>
      <c r="GI592" t="s">
        <v>1</v>
      </c>
      <c r="GJ592" t="s">
        <v>1</v>
      </c>
      <c r="GK592" t="s">
        <v>1</v>
      </c>
      <c r="GL592" t="s">
        <v>1</v>
      </c>
      <c r="GM592" t="s">
        <v>1</v>
      </c>
      <c r="GN592" t="s">
        <v>1</v>
      </c>
      <c r="GO592" t="s">
        <v>1</v>
      </c>
      <c r="GP592" t="s">
        <v>1</v>
      </c>
      <c r="GQ592" t="s">
        <v>1</v>
      </c>
      <c r="GR592" t="s">
        <v>1</v>
      </c>
      <c r="GS592" t="s">
        <v>1</v>
      </c>
      <c r="GT592" t="s">
        <v>1</v>
      </c>
      <c r="GU592" t="s">
        <v>1</v>
      </c>
      <c r="GV592" t="s">
        <v>1</v>
      </c>
      <c r="GW592" t="s">
        <v>1</v>
      </c>
      <c r="GX592" t="s">
        <v>1</v>
      </c>
      <c r="GY592" t="s">
        <v>1</v>
      </c>
      <c r="GZ592" t="s">
        <v>1</v>
      </c>
      <c r="HA592" t="s">
        <v>1</v>
      </c>
      <c r="HB592" t="s">
        <v>1</v>
      </c>
      <c r="HC592" t="s">
        <v>1</v>
      </c>
      <c r="HD592" t="s">
        <v>1</v>
      </c>
      <c r="HE592" t="s">
        <v>1</v>
      </c>
      <c r="HF592" t="s">
        <v>1</v>
      </c>
      <c r="HG592" t="s">
        <v>1</v>
      </c>
      <c r="HH592" t="s">
        <v>1</v>
      </c>
      <c r="HI592" t="s">
        <v>1</v>
      </c>
      <c r="HJ592" t="s">
        <v>1</v>
      </c>
      <c r="HK592" t="s">
        <v>1</v>
      </c>
      <c r="HL592" t="s">
        <v>1</v>
      </c>
      <c r="HM592" t="s">
        <v>1</v>
      </c>
      <c r="HN592" t="s">
        <v>1</v>
      </c>
      <c r="HO592" t="s">
        <v>1</v>
      </c>
      <c r="HP592" t="s">
        <v>1</v>
      </c>
      <c r="HQ592" t="s">
        <v>1</v>
      </c>
      <c r="HR592" t="s">
        <v>1</v>
      </c>
      <c r="HS592" t="s">
        <v>1</v>
      </c>
      <c r="HT592" t="s">
        <v>1</v>
      </c>
      <c r="HU592" t="s">
        <v>1</v>
      </c>
      <c r="HV592" t="s">
        <v>1</v>
      </c>
      <c r="HW592" t="s">
        <v>1</v>
      </c>
      <c r="HX592" t="s">
        <v>1</v>
      </c>
      <c r="HY592" t="s">
        <v>1</v>
      </c>
      <c r="HZ592" t="s">
        <v>1</v>
      </c>
      <c r="IA592" t="s">
        <v>1</v>
      </c>
      <c r="IB592" t="s">
        <v>1</v>
      </c>
      <c r="IC592" t="s">
        <v>1</v>
      </c>
      <c r="ID592" t="s">
        <v>1</v>
      </c>
      <c r="IE592" t="s">
        <v>1</v>
      </c>
      <c r="IF592" t="s">
        <v>1</v>
      </c>
      <c r="IG592" t="s">
        <v>1</v>
      </c>
      <c r="IH592" t="s">
        <v>1</v>
      </c>
      <c r="II592" t="s">
        <v>1</v>
      </c>
      <c r="IJ592" t="s">
        <v>1</v>
      </c>
      <c r="IK592" t="s">
        <v>1</v>
      </c>
      <c r="IL592" t="s">
        <v>1</v>
      </c>
      <c r="IM592" t="s">
        <v>1</v>
      </c>
      <c r="IN592" t="s">
        <v>1</v>
      </c>
      <c r="IO592" t="s">
        <v>1</v>
      </c>
      <c r="IP592" t="s">
        <v>1</v>
      </c>
      <c r="IQ592" t="s">
        <v>1</v>
      </c>
      <c r="IR592" t="s">
        <v>1</v>
      </c>
      <c r="IS592" t="s">
        <v>1</v>
      </c>
      <c r="IT592" t="s">
        <v>1</v>
      </c>
      <c r="IU592" t="s">
        <v>1</v>
      </c>
      <c r="IV592" t="s">
        <v>1</v>
      </c>
      <c r="IW592" t="s">
        <v>1</v>
      </c>
      <c r="IX592" t="s">
        <v>1</v>
      </c>
      <c r="IY592" t="s">
        <v>1</v>
      </c>
      <c r="IZ592" t="s">
        <v>1</v>
      </c>
      <c r="JA592" t="s">
        <v>1</v>
      </c>
      <c r="JB592" t="s">
        <v>1</v>
      </c>
      <c r="JC592" t="s">
        <v>1</v>
      </c>
      <c r="JD592" t="s">
        <v>1</v>
      </c>
      <c r="JE592" t="s">
        <v>1</v>
      </c>
      <c r="JF592" t="s">
        <v>1</v>
      </c>
      <c r="JG592" t="s">
        <v>1</v>
      </c>
      <c r="JH592" t="s">
        <v>1</v>
      </c>
      <c r="JI592" t="s">
        <v>1</v>
      </c>
      <c r="JJ592" t="s">
        <v>1</v>
      </c>
      <c r="JK592" t="s">
        <v>1</v>
      </c>
      <c r="JL592" t="s">
        <v>1</v>
      </c>
      <c r="JM592" t="s">
        <v>1</v>
      </c>
      <c r="JN592" t="s">
        <v>1</v>
      </c>
      <c r="JO592" t="s">
        <v>1</v>
      </c>
      <c r="JP592" t="s">
        <v>1</v>
      </c>
      <c r="JQ592" t="s">
        <v>1</v>
      </c>
      <c r="JR592" t="s">
        <v>1</v>
      </c>
      <c r="JS592" t="s">
        <v>1</v>
      </c>
      <c r="JT592" t="s">
        <v>1</v>
      </c>
      <c r="JU592" t="s">
        <v>1</v>
      </c>
      <c r="JV592" t="s">
        <v>1</v>
      </c>
      <c r="JW592" t="s">
        <v>1</v>
      </c>
      <c r="JX592" t="s">
        <v>1</v>
      </c>
      <c r="JY592" t="s">
        <v>1</v>
      </c>
      <c r="JZ592" t="s">
        <v>1</v>
      </c>
      <c r="KA592" t="s">
        <v>1</v>
      </c>
      <c r="KB592" t="s">
        <v>1</v>
      </c>
      <c r="KC592" t="s">
        <v>1</v>
      </c>
      <c r="KD592" t="s">
        <v>1</v>
      </c>
      <c r="KE592" t="s">
        <v>1</v>
      </c>
      <c r="KF592" t="s">
        <v>1</v>
      </c>
      <c r="KG592" t="s">
        <v>1</v>
      </c>
      <c r="KH592" t="s">
        <v>1</v>
      </c>
      <c r="KI592" t="s">
        <v>1</v>
      </c>
      <c r="KJ592" t="s">
        <v>1</v>
      </c>
      <c r="KK592" t="s">
        <v>1</v>
      </c>
    </row>
    <row r="593" spans="1:297" x14ac:dyDescent="0.2">
      <c r="A593" t="s">
        <v>1</v>
      </c>
      <c r="B593" t="s">
        <v>1</v>
      </c>
      <c r="C593" t="s">
        <v>1</v>
      </c>
      <c r="D593" t="s">
        <v>1</v>
      </c>
      <c r="E593" t="s">
        <v>1</v>
      </c>
      <c r="F593" t="s">
        <v>1</v>
      </c>
      <c r="G593" t="s">
        <v>1</v>
      </c>
      <c r="H593" t="s">
        <v>1</v>
      </c>
      <c r="I593" t="s">
        <v>1</v>
      </c>
      <c r="J593" t="s">
        <v>1</v>
      </c>
      <c r="K593" t="s">
        <v>1</v>
      </c>
      <c r="L593" t="s">
        <v>1</v>
      </c>
      <c r="M593" t="s">
        <v>1</v>
      </c>
      <c r="N593" t="s">
        <v>1</v>
      </c>
      <c r="O593" t="s">
        <v>1</v>
      </c>
      <c r="P593" t="s">
        <v>1</v>
      </c>
      <c r="Q593" t="s">
        <v>1</v>
      </c>
      <c r="R593" t="s">
        <v>1</v>
      </c>
      <c r="S593" t="s">
        <v>1</v>
      </c>
      <c r="T593" t="s">
        <v>1</v>
      </c>
      <c r="U593" t="s">
        <v>1</v>
      </c>
      <c r="V593" t="s">
        <v>1</v>
      </c>
      <c r="W593" t="s">
        <v>1</v>
      </c>
      <c r="X593" t="s">
        <v>1</v>
      </c>
      <c r="Y593" t="s">
        <v>1</v>
      </c>
      <c r="Z593" t="s">
        <v>1</v>
      </c>
      <c r="AA593" t="s">
        <v>1</v>
      </c>
      <c r="AB593" t="s">
        <v>1</v>
      </c>
      <c r="AC593" t="s">
        <v>1</v>
      </c>
      <c r="AD593" t="s">
        <v>1</v>
      </c>
      <c r="AE593" t="s">
        <v>1</v>
      </c>
      <c r="AF593" t="s">
        <v>1</v>
      </c>
      <c r="AG593" t="s">
        <v>1</v>
      </c>
      <c r="AH593" t="s">
        <v>1</v>
      </c>
      <c r="AI593" t="s">
        <v>1</v>
      </c>
      <c r="AJ593" t="s">
        <v>1</v>
      </c>
      <c r="AK593" t="s">
        <v>1</v>
      </c>
      <c r="AL593" t="s">
        <v>1</v>
      </c>
      <c r="AM593" t="s">
        <v>1</v>
      </c>
      <c r="AN593" t="s">
        <v>1</v>
      </c>
      <c r="AO593" t="s">
        <v>1</v>
      </c>
      <c r="AP593" t="s">
        <v>1</v>
      </c>
      <c r="AQ593" t="s">
        <v>1</v>
      </c>
      <c r="AR593" t="s">
        <v>1</v>
      </c>
      <c r="AS593" t="s">
        <v>1</v>
      </c>
      <c r="AT593" t="s">
        <v>1</v>
      </c>
      <c r="AU593" t="s">
        <v>1</v>
      </c>
      <c r="AV593" t="s">
        <v>1</v>
      </c>
      <c r="AW593" t="s">
        <v>1</v>
      </c>
      <c r="AX593" t="s">
        <v>1</v>
      </c>
      <c r="AY593" t="s">
        <v>1</v>
      </c>
      <c r="AZ593" t="s">
        <v>1</v>
      </c>
      <c r="BA593" t="s">
        <v>1</v>
      </c>
      <c r="BD593" t="s">
        <v>1</v>
      </c>
      <c r="BE593" t="s">
        <v>1</v>
      </c>
      <c r="BF593" t="s">
        <v>1</v>
      </c>
      <c r="BG593" t="s">
        <v>1</v>
      </c>
      <c r="BH593" t="s">
        <v>1</v>
      </c>
      <c r="BI593" t="s">
        <v>1</v>
      </c>
      <c r="BJ593" t="s">
        <v>1</v>
      </c>
      <c r="BK593" t="s">
        <v>1</v>
      </c>
      <c r="BL593" t="s">
        <v>1</v>
      </c>
      <c r="BM593" t="s">
        <v>1</v>
      </c>
      <c r="BN593" t="s">
        <v>1</v>
      </c>
      <c r="BO593" t="s">
        <v>1</v>
      </c>
      <c r="BP593" t="s">
        <v>1</v>
      </c>
      <c r="BQ593" t="s">
        <v>1</v>
      </c>
      <c r="BR593" t="s">
        <v>1</v>
      </c>
      <c r="BS593" t="s">
        <v>1</v>
      </c>
      <c r="BT593" t="s">
        <v>1</v>
      </c>
      <c r="BU593" t="s">
        <v>1</v>
      </c>
      <c r="BV593" t="s">
        <v>1</v>
      </c>
      <c r="BW593" t="s">
        <v>1</v>
      </c>
      <c r="BX593" t="s">
        <v>1</v>
      </c>
      <c r="BY593" t="s">
        <v>1</v>
      </c>
      <c r="BZ593" t="s">
        <v>1</v>
      </c>
      <c r="CA593" t="s">
        <v>1</v>
      </c>
      <c r="CB593" t="s">
        <v>1</v>
      </c>
      <c r="CC593" t="s">
        <v>1</v>
      </c>
      <c r="CD593" t="s">
        <v>1</v>
      </c>
      <c r="CE593" t="s">
        <v>1</v>
      </c>
      <c r="CF593" t="s">
        <v>1</v>
      </c>
      <c r="CG593" t="s">
        <v>1</v>
      </c>
      <c r="CH593" t="s">
        <v>1</v>
      </c>
      <c r="CI593" t="s">
        <v>1</v>
      </c>
      <c r="CJ593" t="s">
        <v>1</v>
      </c>
      <c r="CK593" t="s">
        <v>1</v>
      </c>
      <c r="CL593" t="s">
        <v>1</v>
      </c>
      <c r="CM593" t="s">
        <v>1</v>
      </c>
      <c r="CN593" t="s">
        <v>1</v>
      </c>
      <c r="CO593" t="s">
        <v>1</v>
      </c>
      <c r="CP593" s="4" t="s">
        <v>1</v>
      </c>
      <c r="CQ593" s="4" t="s">
        <v>1</v>
      </c>
      <c r="CR593" s="4" t="s">
        <v>1</v>
      </c>
      <c r="CS593" s="4" t="s">
        <v>1</v>
      </c>
      <c r="CT593" s="4" t="s">
        <v>1</v>
      </c>
      <c r="CU593" s="4" t="s">
        <v>1</v>
      </c>
      <c r="CV593" t="s">
        <v>1</v>
      </c>
      <c r="CW593" t="s">
        <v>1</v>
      </c>
      <c r="CX593" t="s">
        <v>1</v>
      </c>
      <c r="CY593" t="s">
        <v>1</v>
      </c>
      <c r="CZ593" t="s">
        <v>1</v>
      </c>
      <c r="DA593" t="s">
        <v>1</v>
      </c>
      <c r="DB593" t="s">
        <v>1</v>
      </c>
      <c r="DC593" t="s">
        <v>1</v>
      </c>
      <c r="DD593" t="s">
        <v>1</v>
      </c>
      <c r="DE593" t="s">
        <v>1</v>
      </c>
      <c r="DF593" t="s">
        <v>1</v>
      </c>
      <c r="DG593" t="s">
        <v>1</v>
      </c>
      <c r="DH593" t="s">
        <v>1</v>
      </c>
      <c r="DI593" t="s">
        <v>1</v>
      </c>
      <c r="DJ593" t="s">
        <v>1</v>
      </c>
      <c r="DK593" t="s">
        <v>1</v>
      </c>
      <c r="DL593" t="s">
        <v>1</v>
      </c>
      <c r="DM593" t="s">
        <v>1</v>
      </c>
      <c r="DN593" t="s">
        <v>1</v>
      </c>
      <c r="DO593" t="s">
        <v>1</v>
      </c>
      <c r="DP593" t="s">
        <v>1</v>
      </c>
      <c r="DQ593" t="s">
        <v>1</v>
      </c>
      <c r="DR593" t="s">
        <v>1</v>
      </c>
      <c r="DS593" t="s">
        <v>1</v>
      </c>
      <c r="DT593" t="s">
        <v>1</v>
      </c>
      <c r="DU593" t="s">
        <v>1</v>
      </c>
      <c r="DV593" t="s">
        <v>1</v>
      </c>
      <c r="DW593" t="s">
        <v>1</v>
      </c>
      <c r="DX593" t="s">
        <v>1</v>
      </c>
      <c r="DY593" t="s">
        <v>1</v>
      </c>
      <c r="DZ593" t="s">
        <v>1</v>
      </c>
      <c r="EA593" t="s">
        <v>1</v>
      </c>
      <c r="EB593" t="s">
        <v>1</v>
      </c>
      <c r="EC593" t="s">
        <v>1</v>
      </c>
      <c r="ED593" t="s">
        <v>1</v>
      </c>
      <c r="EE593" t="s">
        <v>1</v>
      </c>
      <c r="EG593" t="s">
        <v>1</v>
      </c>
      <c r="EH593" t="s">
        <v>1</v>
      </c>
      <c r="EI593" t="s">
        <v>1</v>
      </c>
      <c r="EJ593" t="s">
        <v>1</v>
      </c>
      <c r="EK593" t="s">
        <v>1</v>
      </c>
      <c r="EL593" t="s">
        <v>1</v>
      </c>
      <c r="EM593" t="s">
        <v>1</v>
      </c>
      <c r="EN593" t="s">
        <v>1</v>
      </c>
      <c r="EO593" t="s">
        <v>1</v>
      </c>
      <c r="EP593" t="s">
        <v>1</v>
      </c>
      <c r="EQ593" t="s">
        <v>1</v>
      </c>
      <c r="ER593" t="s">
        <v>1</v>
      </c>
      <c r="ES593" t="s">
        <v>1</v>
      </c>
      <c r="ET593" t="s">
        <v>1</v>
      </c>
      <c r="EU593" t="s">
        <v>1</v>
      </c>
      <c r="EV593" t="s">
        <v>1</v>
      </c>
      <c r="EW593" t="s">
        <v>1</v>
      </c>
      <c r="EX593" t="s">
        <v>1</v>
      </c>
      <c r="EY593" t="s">
        <v>1</v>
      </c>
      <c r="EZ593" t="s">
        <v>1</v>
      </c>
      <c r="FA593" t="s">
        <v>1</v>
      </c>
      <c r="FB593" t="s">
        <v>1</v>
      </c>
      <c r="FC593" t="s">
        <v>1</v>
      </c>
      <c r="FD593" t="s">
        <v>1</v>
      </c>
      <c r="FE593" t="s">
        <v>1</v>
      </c>
      <c r="FF593" t="s">
        <v>1</v>
      </c>
      <c r="FG593" t="s">
        <v>1</v>
      </c>
      <c r="FH593" t="s">
        <v>1</v>
      </c>
      <c r="FI593" t="s">
        <v>1</v>
      </c>
      <c r="FJ593" t="s">
        <v>1</v>
      </c>
      <c r="FK593" t="s">
        <v>1</v>
      </c>
      <c r="FL593" t="s">
        <v>1</v>
      </c>
      <c r="FM593" t="s">
        <v>1</v>
      </c>
      <c r="FN593" t="s">
        <v>1</v>
      </c>
      <c r="FO593" t="s">
        <v>1</v>
      </c>
      <c r="FP593" t="s">
        <v>1</v>
      </c>
      <c r="FQ593" t="s">
        <v>1</v>
      </c>
      <c r="FR593" t="s">
        <v>1</v>
      </c>
      <c r="FS593" t="s">
        <v>1</v>
      </c>
      <c r="FT593" t="s">
        <v>1</v>
      </c>
      <c r="FU593" t="s">
        <v>1</v>
      </c>
      <c r="FV593" t="s">
        <v>1</v>
      </c>
      <c r="FW593" t="s">
        <v>1</v>
      </c>
      <c r="FX593" t="s">
        <v>1</v>
      </c>
      <c r="FY593" t="s">
        <v>1</v>
      </c>
      <c r="FZ593" t="s">
        <v>1</v>
      </c>
      <c r="GA593" t="s">
        <v>1</v>
      </c>
      <c r="GB593" t="s">
        <v>1</v>
      </c>
      <c r="GC593" t="s">
        <v>1</v>
      </c>
      <c r="GD593" t="s">
        <v>1</v>
      </c>
      <c r="GE593" t="s">
        <v>1</v>
      </c>
      <c r="GF593" t="s">
        <v>1</v>
      </c>
      <c r="GG593" t="s">
        <v>1</v>
      </c>
      <c r="GH593" t="s">
        <v>1</v>
      </c>
      <c r="GI593" t="s">
        <v>1</v>
      </c>
      <c r="GJ593" t="s">
        <v>1</v>
      </c>
      <c r="GK593" t="s">
        <v>1</v>
      </c>
      <c r="GL593" t="s">
        <v>1</v>
      </c>
      <c r="GM593" t="s">
        <v>1</v>
      </c>
      <c r="GN593" t="s">
        <v>1</v>
      </c>
      <c r="GO593" t="s">
        <v>1</v>
      </c>
      <c r="GP593" t="s">
        <v>1</v>
      </c>
      <c r="GQ593" t="s">
        <v>1</v>
      </c>
      <c r="GR593" t="s">
        <v>1</v>
      </c>
      <c r="GS593" t="s">
        <v>1</v>
      </c>
      <c r="GT593" t="s">
        <v>1</v>
      </c>
      <c r="GU593" t="s">
        <v>1</v>
      </c>
      <c r="GV593" t="s">
        <v>1</v>
      </c>
      <c r="GW593" t="s">
        <v>1</v>
      </c>
      <c r="GX593" t="s">
        <v>1</v>
      </c>
      <c r="GY593" t="s">
        <v>1</v>
      </c>
      <c r="GZ593" t="s">
        <v>1</v>
      </c>
      <c r="HA593" t="s">
        <v>1</v>
      </c>
      <c r="HB593" t="s">
        <v>1</v>
      </c>
      <c r="HC593" t="s">
        <v>1</v>
      </c>
      <c r="HD593" t="s">
        <v>1</v>
      </c>
      <c r="HE593" t="s">
        <v>1</v>
      </c>
      <c r="HF593" t="s">
        <v>1</v>
      </c>
      <c r="HG593" t="s">
        <v>1</v>
      </c>
      <c r="HH593" t="s">
        <v>1</v>
      </c>
      <c r="HI593" t="s">
        <v>1</v>
      </c>
      <c r="HJ593" t="s">
        <v>1</v>
      </c>
      <c r="HK593" t="s">
        <v>1</v>
      </c>
      <c r="HL593" t="s">
        <v>1</v>
      </c>
      <c r="HM593" t="s">
        <v>1</v>
      </c>
      <c r="HN593" t="s">
        <v>1</v>
      </c>
      <c r="HO593" t="s">
        <v>1</v>
      </c>
      <c r="HP593" t="s">
        <v>1</v>
      </c>
      <c r="HQ593" t="s">
        <v>1</v>
      </c>
      <c r="HR593" t="s">
        <v>1</v>
      </c>
      <c r="HS593" t="s">
        <v>1</v>
      </c>
      <c r="HT593" t="s">
        <v>1</v>
      </c>
      <c r="HU593" t="s">
        <v>1</v>
      </c>
      <c r="HV593" t="s">
        <v>1</v>
      </c>
      <c r="HW593" t="s">
        <v>1</v>
      </c>
      <c r="HX593" t="s">
        <v>1</v>
      </c>
      <c r="HY593" t="s">
        <v>1</v>
      </c>
      <c r="HZ593" t="s">
        <v>1</v>
      </c>
      <c r="IA593" t="s">
        <v>1</v>
      </c>
      <c r="IB593" t="s">
        <v>1</v>
      </c>
      <c r="IC593" t="s">
        <v>1</v>
      </c>
      <c r="ID593" t="s">
        <v>1</v>
      </c>
      <c r="IE593" t="s">
        <v>1</v>
      </c>
      <c r="IF593" t="s">
        <v>1</v>
      </c>
      <c r="IG593" t="s">
        <v>1</v>
      </c>
      <c r="IH593" t="s">
        <v>1</v>
      </c>
      <c r="II593" t="s">
        <v>1</v>
      </c>
      <c r="IJ593" t="s">
        <v>1</v>
      </c>
      <c r="IK593" t="s">
        <v>1</v>
      </c>
      <c r="IL593" t="s">
        <v>1</v>
      </c>
      <c r="IM593" t="s">
        <v>1</v>
      </c>
      <c r="IN593" t="s">
        <v>1</v>
      </c>
      <c r="IO593" t="s">
        <v>1</v>
      </c>
      <c r="IP593" t="s">
        <v>1</v>
      </c>
      <c r="IQ593" t="s">
        <v>1</v>
      </c>
      <c r="IR593" t="s">
        <v>1</v>
      </c>
      <c r="IS593" t="s">
        <v>1</v>
      </c>
      <c r="IT593" t="s">
        <v>1</v>
      </c>
      <c r="IU593" t="s">
        <v>1</v>
      </c>
      <c r="IV593" t="s">
        <v>1</v>
      </c>
      <c r="IW593" t="s">
        <v>1</v>
      </c>
      <c r="IX593" t="s">
        <v>1</v>
      </c>
      <c r="IY593" t="s">
        <v>1</v>
      </c>
      <c r="IZ593" t="s">
        <v>1</v>
      </c>
      <c r="JA593" t="s">
        <v>1</v>
      </c>
      <c r="JB593" t="s">
        <v>1</v>
      </c>
      <c r="JC593" t="s">
        <v>1</v>
      </c>
      <c r="JD593" t="s">
        <v>1</v>
      </c>
      <c r="JE593" t="s">
        <v>1</v>
      </c>
      <c r="JF593" t="s">
        <v>1</v>
      </c>
      <c r="JG593" t="s">
        <v>1</v>
      </c>
      <c r="JH593" t="s">
        <v>1</v>
      </c>
      <c r="JI593" t="s">
        <v>1</v>
      </c>
      <c r="JJ593" t="s">
        <v>1</v>
      </c>
      <c r="JK593" t="s">
        <v>1</v>
      </c>
      <c r="JL593" t="s">
        <v>1</v>
      </c>
      <c r="JM593" t="s">
        <v>1</v>
      </c>
      <c r="JN593" t="s">
        <v>1</v>
      </c>
      <c r="JO593" t="s">
        <v>1</v>
      </c>
      <c r="JP593" t="s">
        <v>1</v>
      </c>
      <c r="JQ593" t="s">
        <v>1</v>
      </c>
      <c r="JR593" t="s">
        <v>1</v>
      </c>
      <c r="JS593" t="s">
        <v>1</v>
      </c>
      <c r="JT593" t="s">
        <v>1</v>
      </c>
      <c r="JU593" t="s">
        <v>1</v>
      </c>
      <c r="JV593" t="s">
        <v>1</v>
      </c>
      <c r="JW593" t="s">
        <v>1</v>
      </c>
      <c r="JX593" t="s">
        <v>1</v>
      </c>
      <c r="JY593" t="s">
        <v>1</v>
      </c>
      <c r="JZ593" t="s">
        <v>1</v>
      </c>
      <c r="KA593" t="s">
        <v>1</v>
      </c>
      <c r="KB593" t="s">
        <v>1</v>
      </c>
      <c r="KC593" t="s">
        <v>1</v>
      </c>
      <c r="KD593" t="s">
        <v>1</v>
      </c>
      <c r="KE593" t="s">
        <v>1</v>
      </c>
      <c r="KF593" t="s">
        <v>1</v>
      </c>
      <c r="KG593" t="s">
        <v>1</v>
      </c>
      <c r="KH593" t="s">
        <v>1</v>
      </c>
      <c r="KI593" t="s">
        <v>1</v>
      </c>
      <c r="KJ593" t="s">
        <v>1</v>
      </c>
      <c r="KK593" t="s">
        <v>1</v>
      </c>
    </row>
    <row r="594" spans="1:297" x14ac:dyDescent="0.2">
      <c r="A594" t="s">
        <v>1</v>
      </c>
      <c r="B594" t="s">
        <v>1</v>
      </c>
      <c r="C594" t="s">
        <v>1</v>
      </c>
      <c r="D594" t="s">
        <v>1</v>
      </c>
      <c r="E594" t="s">
        <v>1</v>
      </c>
      <c r="F594" t="s">
        <v>1</v>
      </c>
      <c r="G594" t="s">
        <v>1</v>
      </c>
      <c r="H594" t="s">
        <v>1</v>
      </c>
      <c r="I594" t="s">
        <v>1</v>
      </c>
      <c r="J594" t="s">
        <v>1</v>
      </c>
      <c r="K594" t="s">
        <v>1</v>
      </c>
      <c r="L594" t="s">
        <v>1</v>
      </c>
      <c r="M594" t="s">
        <v>1</v>
      </c>
      <c r="N594" t="s">
        <v>1</v>
      </c>
      <c r="O594" t="s">
        <v>1</v>
      </c>
      <c r="P594" t="s">
        <v>1</v>
      </c>
      <c r="Q594" t="s">
        <v>1</v>
      </c>
      <c r="R594" t="s">
        <v>1</v>
      </c>
      <c r="S594" t="s">
        <v>1</v>
      </c>
      <c r="T594" t="s">
        <v>1</v>
      </c>
      <c r="U594" t="s">
        <v>1</v>
      </c>
      <c r="V594" t="s">
        <v>1</v>
      </c>
      <c r="W594" t="s">
        <v>1</v>
      </c>
      <c r="X594" t="s">
        <v>1</v>
      </c>
      <c r="Y594" t="s">
        <v>1</v>
      </c>
      <c r="Z594" t="s">
        <v>1</v>
      </c>
      <c r="AA594" t="s">
        <v>1</v>
      </c>
      <c r="AB594" t="s">
        <v>1</v>
      </c>
      <c r="AC594" t="s">
        <v>1</v>
      </c>
      <c r="AD594" t="s">
        <v>1</v>
      </c>
      <c r="AE594" t="s">
        <v>1</v>
      </c>
      <c r="AF594" t="s">
        <v>1</v>
      </c>
      <c r="AG594" t="s">
        <v>1</v>
      </c>
      <c r="AH594" t="s">
        <v>1</v>
      </c>
      <c r="AI594" t="s">
        <v>1</v>
      </c>
      <c r="AJ594" t="s">
        <v>1</v>
      </c>
      <c r="AK594" t="s">
        <v>1</v>
      </c>
      <c r="AL594" t="s">
        <v>1</v>
      </c>
      <c r="AM594" t="s">
        <v>1</v>
      </c>
      <c r="AN594" t="s">
        <v>1</v>
      </c>
      <c r="AO594" t="s">
        <v>1</v>
      </c>
      <c r="AP594" t="s">
        <v>1</v>
      </c>
      <c r="AQ594" t="s">
        <v>1</v>
      </c>
      <c r="AR594" t="s">
        <v>1</v>
      </c>
      <c r="AS594" t="s">
        <v>1</v>
      </c>
      <c r="AT594" t="s">
        <v>1</v>
      </c>
      <c r="AU594" t="s">
        <v>1</v>
      </c>
      <c r="AV594" t="s">
        <v>1</v>
      </c>
      <c r="AW594" t="s">
        <v>1</v>
      </c>
      <c r="AX594" t="s">
        <v>1</v>
      </c>
      <c r="AY594" t="s">
        <v>1</v>
      </c>
      <c r="AZ594" t="s">
        <v>1</v>
      </c>
      <c r="BA594" t="s">
        <v>1</v>
      </c>
      <c r="BD594" t="s">
        <v>1</v>
      </c>
      <c r="BE594" t="s">
        <v>1</v>
      </c>
      <c r="BF594" t="s">
        <v>1</v>
      </c>
      <c r="BG594" t="s">
        <v>1</v>
      </c>
      <c r="BH594" t="s">
        <v>1</v>
      </c>
      <c r="BI594" t="s">
        <v>1</v>
      </c>
      <c r="BJ594" t="s">
        <v>1</v>
      </c>
      <c r="BK594" t="s">
        <v>1</v>
      </c>
      <c r="BL594" t="s">
        <v>1</v>
      </c>
      <c r="BM594" t="s">
        <v>1</v>
      </c>
      <c r="BN594" t="s">
        <v>1</v>
      </c>
      <c r="BO594" t="s">
        <v>1</v>
      </c>
      <c r="BP594" t="s">
        <v>1</v>
      </c>
      <c r="BQ594" t="s">
        <v>1</v>
      </c>
      <c r="BR594" t="s">
        <v>1</v>
      </c>
      <c r="BS594" t="s">
        <v>1</v>
      </c>
      <c r="BT594" t="s">
        <v>1</v>
      </c>
      <c r="BU594" t="s">
        <v>1</v>
      </c>
      <c r="BV594" t="s">
        <v>1</v>
      </c>
      <c r="BW594" t="s">
        <v>1</v>
      </c>
      <c r="BX594" t="s">
        <v>1</v>
      </c>
      <c r="BY594" t="s">
        <v>1</v>
      </c>
      <c r="BZ594" t="s">
        <v>1</v>
      </c>
      <c r="CA594" t="s">
        <v>1</v>
      </c>
      <c r="CB594" t="s">
        <v>1</v>
      </c>
      <c r="CC594" t="s">
        <v>1</v>
      </c>
      <c r="CD594" t="s">
        <v>1</v>
      </c>
      <c r="CE594" t="s">
        <v>1</v>
      </c>
      <c r="CF594" t="s">
        <v>1</v>
      </c>
      <c r="CG594" t="s">
        <v>1</v>
      </c>
      <c r="CH594" t="s">
        <v>1</v>
      </c>
      <c r="CI594" t="s">
        <v>1</v>
      </c>
      <c r="CJ594" t="s">
        <v>1</v>
      </c>
      <c r="CK594" t="s">
        <v>1</v>
      </c>
      <c r="CL594" t="s">
        <v>1</v>
      </c>
      <c r="CM594" t="s">
        <v>1</v>
      </c>
      <c r="CN594" t="s">
        <v>1</v>
      </c>
      <c r="CO594" t="s">
        <v>1</v>
      </c>
      <c r="CP594" s="4" t="s">
        <v>1</v>
      </c>
      <c r="CQ594" s="4" t="s">
        <v>1</v>
      </c>
      <c r="CR594" s="4" t="s">
        <v>1</v>
      </c>
      <c r="CS594" s="4" t="s">
        <v>1</v>
      </c>
      <c r="CT594" s="4" t="s">
        <v>1</v>
      </c>
      <c r="CU594" s="4" t="s">
        <v>1</v>
      </c>
      <c r="CV594" t="s">
        <v>1</v>
      </c>
      <c r="CW594" t="s">
        <v>1</v>
      </c>
      <c r="CX594" t="s">
        <v>1</v>
      </c>
      <c r="CY594" t="s">
        <v>1</v>
      </c>
      <c r="CZ594" t="s">
        <v>1</v>
      </c>
      <c r="DA594" t="s">
        <v>1</v>
      </c>
      <c r="DB594" t="s">
        <v>1</v>
      </c>
      <c r="DC594" t="s">
        <v>1</v>
      </c>
      <c r="DD594" t="s">
        <v>1</v>
      </c>
      <c r="DE594" t="s">
        <v>1</v>
      </c>
      <c r="DF594" t="s">
        <v>1</v>
      </c>
      <c r="DG594" t="s">
        <v>1</v>
      </c>
      <c r="DH594" t="s">
        <v>1</v>
      </c>
      <c r="DI594" t="s">
        <v>1</v>
      </c>
      <c r="DJ594" t="s">
        <v>1</v>
      </c>
      <c r="DK594" t="s">
        <v>1</v>
      </c>
      <c r="DL594" t="s">
        <v>1</v>
      </c>
      <c r="DM594" t="s">
        <v>1</v>
      </c>
      <c r="DN594" t="s">
        <v>1</v>
      </c>
      <c r="DO594" t="s">
        <v>1</v>
      </c>
      <c r="DP594" t="s">
        <v>1</v>
      </c>
      <c r="DQ594" t="s">
        <v>1</v>
      </c>
      <c r="DR594" t="s">
        <v>1</v>
      </c>
      <c r="DS594" t="s">
        <v>1</v>
      </c>
      <c r="DT594" t="s">
        <v>1</v>
      </c>
      <c r="DU594" t="s">
        <v>1</v>
      </c>
      <c r="DV594" t="s">
        <v>1</v>
      </c>
      <c r="DW594" t="s">
        <v>1</v>
      </c>
      <c r="DX594" t="s">
        <v>1</v>
      </c>
      <c r="DY594" t="s">
        <v>1</v>
      </c>
      <c r="DZ594" t="s">
        <v>1</v>
      </c>
      <c r="EA594" t="s">
        <v>1</v>
      </c>
      <c r="EB594" t="s">
        <v>1</v>
      </c>
      <c r="EC594" t="s">
        <v>1</v>
      </c>
      <c r="ED594" t="s">
        <v>1</v>
      </c>
      <c r="EE594" t="s">
        <v>1</v>
      </c>
      <c r="EG594" t="s">
        <v>1</v>
      </c>
      <c r="EH594" t="s">
        <v>1</v>
      </c>
      <c r="EI594" t="s">
        <v>1</v>
      </c>
      <c r="EJ594" t="s">
        <v>1</v>
      </c>
      <c r="EK594" t="s">
        <v>1</v>
      </c>
      <c r="EL594" t="s">
        <v>1</v>
      </c>
      <c r="EM594" t="s">
        <v>1</v>
      </c>
      <c r="EN594" t="s">
        <v>1</v>
      </c>
      <c r="EO594" t="s">
        <v>1</v>
      </c>
      <c r="EP594" t="s">
        <v>1</v>
      </c>
      <c r="EQ594" t="s">
        <v>1</v>
      </c>
      <c r="ER594" t="s">
        <v>1</v>
      </c>
      <c r="ES594" t="s">
        <v>1</v>
      </c>
      <c r="ET594" t="s">
        <v>1</v>
      </c>
      <c r="EU594" t="s">
        <v>1</v>
      </c>
      <c r="EV594" t="s">
        <v>1</v>
      </c>
      <c r="EW594" t="s">
        <v>1</v>
      </c>
      <c r="EX594" t="s">
        <v>1</v>
      </c>
      <c r="EY594" t="s">
        <v>1</v>
      </c>
      <c r="EZ594" t="s">
        <v>1</v>
      </c>
      <c r="FA594" t="s">
        <v>1</v>
      </c>
      <c r="FB594" t="s">
        <v>1</v>
      </c>
      <c r="FC594" t="s">
        <v>1</v>
      </c>
      <c r="FD594" t="s">
        <v>1</v>
      </c>
      <c r="FE594" t="s">
        <v>1</v>
      </c>
      <c r="FF594" t="s">
        <v>1</v>
      </c>
      <c r="FG594" t="s">
        <v>1</v>
      </c>
      <c r="FH594" t="s">
        <v>1</v>
      </c>
      <c r="FI594" t="s">
        <v>1</v>
      </c>
      <c r="FJ594" t="s">
        <v>1</v>
      </c>
      <c r="FK594" t="s">
        <v>1</v>
      </c>
      <c r="FL594" t="s">
        <v>1</v>
      </c>
      <c r="FM594" t="s">
        <v>1</v>
      </c>
      <c r="FN594" t="s">
        <v>1</v>
      </c>
      <c r="FO594" t="s">
        <v>1</v>
      </c>
      <c r="FP594" t="s">
        <v>1</v>
      </c>
      <c r="FQ594" t="s">
        <v>1</v>
      </c>
      <c r="FR594" t="s">
        <v>1</v>
      </c>
      <c r="FS594" t="s">
        <v>1</v>
      </c>
      <c r="FT594" t="s">
        <v>1</v>
      </c>
      <c r="FU594" t="s">
        <v>1</v>
      </c>
      <c r="FV594" t="s">
        <v>1</v>
      </c>
      <c r="FW594" t="s">
        <v>1</v>
      </c>
      <c r="FX594" t="s">
        <v>1</v>
      </c>
      <c r="FY594" t="s">
        <v>1</v>
      </c>
      <c r="FZ594" t="s">
        <v>1</v>
      </c>
      <c r="GA594" t="s">
        <v>1</v>
      </c>
      <c r="GB594" t="s">
        <v>1</v>
      </c>
      <c r="GC594" t="s">
        <v>1</v>
      </c>
      <c r="GD594" t="s">
        <v>1</v>
      </c>
      <c r="GE594" t="s">
        <v>1</v>
      </c>
      <c r="GF594" t="s">
        <v>1</v>
      </c>
      <c r="GG594" t="s">
        <v>1</v>
      </c>
      <c r="GH594" t="s">
        <v>1</v>
      </c>
      <c r="GI594" t="s">
        <v>1</v>
      </c>
      <c r="GJ594" t="s">
        <v>1</v>
      </c>
      <c r="GK594" t="s">
        <v>1</v>
      </c>
      <c r="GL594" t="s">
        <v>1</v>
      </c>
      <c r="GM594" t="s">
        <v>1</v>
      </c>
      <c r="GN594" t="s">
        <v>1</v>
      </c>
      <c r="GO594" t="s">
        <v>1</v>
      </c>
      <c r="GP594" t="s">
        <v>1</v>
      </c>
      <c r="GQ594" t="s">
        <v>1</v>
      </c>
      <c r="GR594" t="s">
        <v>1</v>
      </c>
      <c r="GS594" t="s">
        <v>1</v>
      </c>
      <c r="GT594" t="s">
        <v>1</v>
      </c>
      <c r="GU594" t="s">
        <v>1</v>
      </c>
      <c r="GV594" t="s">
        <v>1</v>
      </c>
      <c r="GW594" t="s">
        <v>1</v>
      </c>
      <c r="GX594" t="s">
        <v>1</v>
      </c>
      <c r="GY594" t="s">
        <v>1</v>
      </c>
      <c r="GZ594" t="s">
        <v>1</v>
      </c>
      <c r="HA594" t="s">
        <v>1</v>
      </c>
      <c r="HB594" t="s">
        <v>1</v>
      </c>
      <c r="HC594" t="s">
        <v>1</v>
      </c>
      <c r="HD594" t="s">
        <v>1</v>
      </c>
      <c r="HE594" t="s">
        <v>1</v>
      </c>
      <c r="HF594" t="s">
        <v>1</v>
      </c>
      <c r="HG594" t="s">
        <v>1</v>
      </c>
      <c r="HH594" t="s">
        <v>1</v>
      </c>
      <c r="HI594" t="s">
        <v>1</v>
      </c>
      <c r="HJ594" t="s">
        <v>1</v>
      </c>
      <c r="HK594" t="s">
        <v>1</v>
      </c>
      <c r="HL594" t="s">
        <v>1</v>
      </c>
      <c r="HM594" t="s">
        <v>1</v>
      </c>
      <c r="HN594" t="s">
        <v>1</v>
      </c>
      <c r="HO594" t="s">
        <v>1</v>
      </c>
      <c r="HP594" t="s">
        <v>1</v>
      </c>
      <c r="HQ594" t="s">
        <v>1</v>
      </c>
      <c r="HR594" t="s">
        <v>1</v>
      </c>
      <c r="HS594" t="s">
        <v>1</v>
      </c>
      <c r="HT594" t="s">
        <v>1</v>
      </c>
      <c r="HU594" t="s">
        <v>1</v>
      </c>
      <c r="HV594" t="s">
        <v>1</v>
      </c>
      <c r="HW594" t="s">
        <v>1</v>
      </c>
      <c r="HX594" t="s">
        <v>1</v>
      </c>
      <c r="HY594" t="s">
        <v>1</v>
      </c>
      <c r="HZ594" t="s">
        <v>1</v>
      </c>
      <c r="IA594" t="s">
        <v>1</v>
      </c>
      <c r="IB594" t="s">
        <v>1</v>
      </c>
      <c r="IC594" t="s">
        <v>1</v>
      </c>
      <c r="ID594" t="s">
        <v>1</v>
      </c>
      <c r="IE594" t="s">
        <v>1</v>
      </c>
      <c r="IF594" t="s">
        <v>1</v>
      </c>
      <c r="IG594" t="s">
        <v>1</v>
      </c>
      <c r="IH594" t="s">
        <v>1</v>
      </c>
      <c r="II594" t="s">
        <v>1</v>
      </c>
      <c r="IJ594" t="s">
        <v>1</v>
      </c>
      <c r="IK594" t="s">
        <v>1</v>
      </c>
      <c r="IL594" t="s">
        <v>1</v>
      </c>
      <c r="IM594" t="s">
        <v>1</v>
      </c>
      <c r="IN594" t="s">
        <v>1</v>
      </c>
      <c r="IO594" t="s">
        <v>1</v>
      </c>
      <c r="IP594" t="s">
        <v>1</v>
      </c>
      <c r="IQ594" t="s">
        <v>1</v>
      </c>
      <c r="IR594" t="s">
        <v>1</v>
      </c>
      <c r="IS594" t="s">
        <v>1</v>
      </c>
      <c r="IT594" t="s">
        <v>1</v>
      </c>
      <c r="IU594" t="s">
        <v>1</v>
      </c>
      <c r="IV594" t="s">
        <v>1</v>
      </c>
      <c r="IW594" t="s">
        <v>1</v>
      </c>
      <c r="IX594" t="s">
        <v>1</v>
      </c>
      <c r="IY594" t="s">
        <v>1</v>
      </c>
      <c r="IZ594" t="s">
        <v>1</v>
      </c>
      <c r="JA594" t="s">
        <v>1</v>
      </c>
      <c r="JB594" t="s">
        <v>1</v>
      </c>
      <c r="JC594" t="s">
        <v>1</v>
      </c>
      <c r="JD594" t="s">
        <v>1</v>
      </c>
      <c r="JE594" t="s">
        <v>1</v>
      </c>
      <c r="JF594" t="s">
        <v>1</v>
      </c>
      <c r="JG594" t="s">
        <v>1</v>
      </c>
      <c r="JH594" t="s">
        <v>1</v>
      </c>
      <c r="JI594" t="s">
        <v>1</v>
      </c>
      <c r="JJ594" t="s">
        <v>1</v>
      </c>
      <c r="JK594" t="s">
        <v>1</v>
      </c>
      <c r="JL594" t="s">
        <v>1</v>
      </c>
      <c r="JM594" t="s">
        <v>1</v>
      </c>
      <c r="JN594" t="s">
        <v>1</v>
      </c>
      <c r="JO594" t="s">
        <v>1</v>
      </c>
      <c r="JP594" t="s">
        <v>1</v>
      </c>
      <c r="JQ594" t="s">
        <v>1</v>
      </c>
      <c r="JR594" t="s">
        <v>1</v>
      </c>
      <c r="JS594" t="s">
        <v>1</v>
      </c>
      <c r="JT594" t="s">
        <v>1</v>
      </c>
      <c r="JU594" t="s">
        <v>1</v>
      </c>
      <c r="JV594" t="s">
        <v>1</v>
      </c>
      <c r="JW594" t="s">
        <v>1</v>
      </c>
      <c r="JX594" t="s">
        <v>1</v>
      </c>
      <c r="JY594" t="s">
        <v>1</v>
      </c>
      <c r="JZ594" t="s">
        <v>1</v>
      </c>
      <c r="KA594" t="s">
        <v>1</v>
      </c>
      <c r="KB594" t="s">
        <v>1</v>
      </c>
      <c r="KC594" t="s">
        <v>1</v>
      </c>
      <c r="KD594" t="s">
        <v>1</v>
      </c>
      <c r="KE594" t="s">
        <v>1</v>
      </c>
      <c r="KF594" t="s">
        <v>1</v>
      </c>
      <c r="KG594" t="s">
        <v>1</v>
      </c>
      <c r="KH594" t="s">
        <v>1</v>
      </c>
      <c r="KI594" t="s">
        <v>1</v>
      </c>
      <c r="KJ594" t="s">
        <v>1</v>
      </c>
      <c r="KK594" t="s">
        <v>1</v>
      </c>
    </row>
    <row r="595" spans="1:297" x14ac:dyDescent="0.2">
      <c r="A595" t="s">
        <v>1</v>
      </c>
      <c r="B595" t="s">
        <v>1</v>
      </c>
      <c r="C595" t="s">
        <v>1</v>
      </c>
      <c r="D595" t="s">
        <v>1</v>
      </c>
      <c r="E595" t="s">
        <v>1</v>
      </c>
      <c r="F595" t="s">
        <v>1</v>
      </c>
      <c r="G595" t="s">
        <v>1</v>
      </c>
      <c r="H595" t="s">
        <v>1</v>
      </c>
      <c r="I595" t="s">
        <v>1</v>
      </c>
      <c r="J595" t="s">
        <v>1</v>
      </c>
      <c r="K595" t="s">
        <v>1</v>
      </c>
      <c r="L595" t="s">
        <v>1</v>
      </c>
      <c r="M595" t="s">
        <v>1</v>
      </c>
      <c r="N595" t="s">
        <v>1</v>
      </c>
      <c r="O595" t="s">
        <v>1</v>
      </c>
      <c r="P595" t="s">
        <v>1</v>
      </c>
      <c r="Q595" t="s">
        <v>1</v>
      </c>
      <c r="R595" t="s">
        <v>1</v>
      </c>
      <c r="S595" t="s">
        <v>1</v>
      </c>
      <c r="T595" t="s">
        <v>1</v>
      </c>
      <c r="U595" t="s">
        <v>1</v>
      </c>
      <c r="V595" t="s">
        <v>1</v>
      </c>
      <c r="W595" t="s">
        <v>1</v>
      </c>
      <c r="X595" t="s">
        <v>1</v>
      </c>
      <c r="Y595" t="s">
        <v>1</v>
      </c>
      <c r="Z595" t="s">
        <v>1</v>
      </c>
      <c r="AA595" t="s">
        <v>1</v>
      </c>
      <c r="AB595" t="s">
        <v>1</v>
      </c>
      <c r="AC595" t="s">
        <v>1</v>
      </c>
      <c r="AD595" t="s">
        <v>1</v>
      </c>
      <c r="AE595" t="s">
        <v>1</v>
      </c>
      <c r="AF595" t="s">
        <v>1</v>
      </c>
      <c r="AG595" t="s">
        <v>1</v>
      </c>
      <c r="AH595" t="s">
        <v>1</v>
      </c>
      <c r="AI595" t="s">
        <v>1</v>
      </c>
      <c r="AJ595" t="s">
        <v>1</v>
      </c>
      <c r="AK595" t="s">
        <v>1</v>
      </c>
      <c r="AL595" t="s">
        <v>1</v>
      </c>
      <c r="AM595" t="s">
        <v>1</v>
      </c>
      <c r="AN595" t="s">
        <v>1</v>
      </c>
      <c r="AO595" t="s">
        <v>1</v>
      </c>
      <c r="AP595" t="s">
        <v>1</v>
      </c>
      <c r="AQ595" t="s">
        <v>1</v>
      </c>
      <c r="AR595" t="s">
        <v>1</v>
      </c>
      <c r="AS595" t="s">
        <v>1</v>
      </c>
      <c r="AT595" t="s">
        <v>1</v>
      </c>
      <c r="AU595" t="s">
        <v>1</v>
      </c>
      <c r="AV595" t="s">
        <v>1</v>
      </c>
      <c r="AW595" t="s">
        <v>1</v>
      </c>
      <c r="AX595" t="s">
        <v>1</v>
      </c>
      <c r="AY595" t="s">
        <v>1</v>
      </c>
      <c r="AZ595" t="s">
        <v>1</v>
      </c>
      <c r="BA595" t="s">
        <v>1</v>
      </c>
      <c r="BD595" t="s">
        <v>1</v>
      </c>
      <c r="BE595" t="s">
        <v>1</v>
      </c>
      <c r="BF595" t="s">
        <v>1</v>
      </c>
      <c r="BG595" t="s">
        <v>1</v>
      </c>
      <c r="BH595" t="s">
        <v>1</v>
      </c>
      <c r="BI595" t="s">
        <v>1</v>
      </c>
      <c r="BJ595" t="s">
        <v>1</v>
      </c>
      <c r="BK595" t="s">
        <v>1</v>
      </c>
      <c r="BL595" t="s">
        <v>1</v>
      </c>
      <c r="BM595" t="s">
        <v>1</v>
      </c>
      <c r="BN595" t="s">
        <v>1</v>
      </c>
      <c r="BO595" t="s">
        <v>1</v>
      </c>
      <c r="BP595" t="s">
        <v>1</v>
      </c>
      <c r="BQ595" t="s">
        <v>1</v>
      </c>
      <c r="BR595" t="s">
        <v>1</v>
      </c>
      <c r="BS595" t="s">
        <v>1</v>
      </c>
      <c r="BT595" t="s">
        <v>1</v>
      </c>
      <c r="BU595" t="s">
        <v>1</v>
      </c>
      <c r="BV595" t="s">
        <v>1</v>
      </c>
      <c r="BW595" t="s">
        <v>1</v>
      </c>
      <c r="BX595" t="s">
        <v>1</v>
      </c>
      <c r="BY595" t="s">
        <v>1</v>
      </c>
      <c r="BZ595" t="s">
        <v>1</v>
      </c>
      <c r="CA595" t="s">
        <v>1</v>
      </c>
      <c r="CB595" t="s">
        <v>1</v>
      </c>
      <c r="CC595" t="s">
        <v>1</v>
      </c>
      <c r="CD595" t="s">
        <v>1</v>
      </c>
      <c r="CE595" t="s">
        <v>1</v>
      </c>
      <c r="CF595" t="s">
        <v>1</v>
      </c>
      <c r="CG595" t="s">
        <v>1</v>
      </c>
      <c r="CH595" t="s">
        <v>1</v>
      </c>
      <c r="CI595" t="s">
        <v>1</v>
      </c>
      <c r="CJ595" t="s">
        <v>1</v>
      </c>
      <c r="CK595" t="s">
        <v>1</v>
      </c>
      <c r="CL595" t="s">
        <v>1</v>
      </c>
      <c r="CM595" t="s">
        <v>1</v>
      </c>
      <c r="CN595" t="s">
        <v>1</v>
      </c>
      <c r="CO595" t="s">
        <v>1</v>
      </c>
      <c r="CP595" s="4" t="s">
        <v>1</v>
      </c>
      <c r="CQ595" s="4" t="s">
        <v>1</v>
      </c>
      <c r="CR595" s="4" t="s">
        <v>1</v>
      </c>
      <c r="CS595" s="4" t="s">
        <v>1</v>
      </c>
      <c r="CT595" s="4" t="s">
        <v>1</v>
      </c>
      <c r="CU595" s="4" t="s">
        <v>1</v>
      </c>
      <c r="CV595" t="s">
        <v>1</v>
      </c>
      <c r="CW595" t="s">
        <v>1</v>
      </c>
      <c r="CX595" t="s">
        <v>1</v>
      </c>
      <c r="CY595" t="s">
        <v>1</v>
      </c>
      <c r="CZ595" t="s">
        <v>1</v>
      </c>
      <c r="DA595" t="s">
        <v>1</v>
      </c>
      <c r="DB595" t="s">
        <v>1</v>
      </c>
      <c r="DC595" t="s">
        <v>1</v>
      </c>
      <c r="DD595" t="s">
        <v>1</v>
      </c>
      <c r="DE595" t="s">
        <v>1</v>
      </c>
      <c r="DF595" t="s">
        <v>1</v>
      </c>
      <c r="DG595" t="s">
        <v>1</v>
      </c>
      <c r="DH595" t="s">
        <v>1</v>
      </c>
      <c r="DI595" t="s">
        <v>1</v>
      </c>
      <c r="DJ595" t="s">
        <v>1</v>
      </c>
      <c r="DK595" t="s">
        <v>1</v>
      </c>
      <c r="DL595" t="s">
        <v>1</v>
      </c>
      <c r="DM595" t="s">
        <v>1</v>
      </c>
      <c r="DN595" t="s">
        <v>1</v>
      </c>
      <c r="DO595" t="s">
        <v>1</v>
      </c>
      <c r="DP595" t="s">
        <v>1</v>
      </c>
      <c r="DQ595" t="s">
        <v>1</v>
      </c>
      <c r="DR595" t="s">
        <v>1</v>
      </c>
      <c r="DS595" t="s">
        <v>1</v>
      </c>
      <c r="DT595" t="s">
        <v>1</v>
      </c>
      <c r="DU595" t="s">
        <v>1</v>
      </c>
      <c r="DV595" t="s">
        <v>1</v>
      </c>
      <c r="DW595" t="s">
        <v>1</v>
      </c>
      <c r="DX595" t="s">
        <v>1</v>
      </c>
      <c r="DY595" t="s">
        <v>1</v>
      </c>
      <c r="DZ595" t="s">
        <v>1</v>
      </c>
      <c r="EA595" t="s">
        <v>1</v>
      </c>
      <c r="EB595" t="s">
        <v>1</v>
      </c>
      <c r="EC595" t="s">
        <v>1</v>
      </c>
      <c r="ED595" t="s">
        <v>1</v>
      </c>
      <c r="EE595" t="s">
        <v>1</v>
      </c>
      <c r="EG595" t="s">
        <v>1</v>
      </c>
      <c r="EH595" t="s">
        <v>1</v>
      </c>
      <c r="EI595" t="s">
        <v>1</v>
      </c>
      <c r="EJ595" t="s">
        <v>1</v>
      </c>
      <c r="EK595" t="s">
        <v>1</v>
      </c>
      <c r="EL595" t="s">
        <v>1</v>
      </c>
      <c r="EM595" t="s">
        <v>1</v>
      </c>
      <c r="EN595" t="s">
        <v>1</v>
      </c>
      <c r="EO595" t="s">
        <v>1</v>
      </c>
      <c r="EP595" t="s">
        <v>1</v>
      </c>
      <c r="EQ595" t="s">
        <v>1</v>
      </c>
      <c r="ER595" t="s">
        <v>1</v>
      </c>
      <c r="ES595" t="s">
        <v>1</v>
      </c>
      <c r="ET595" t="s">
        <v>1</v>
      </c>
      <c r="EU595" t="s">
        <v>1</v>
      </c>
      <c r="EV595" t="s">
        <v>1</v>
      </c>
      <c r="EW595" t="s">
        <v>1</v>
      </c>
      <c r="EX595" t="s">
        <v>1</v>
      </c>
      <c r="EY595" t="s">
        <v>1</v>
      </c>
      <c r="EZ595" t="s">
        <v>1</v>
      </c>
      <c r="FA595" t="s">
        <v>1</v>
      </c>
      <c r="FB595" t="s">
        <v>1</v>
      </c>
      <c r="FC595" t="s">
        <v>1</v>
      </c>
      <c r="FD595" t="s">
        <v>1</v>
      </c>
      <c r="FE595" t="s">
        <v>1</v>
      </c>
      <c r="FF595" t="s">
        <v>1</v>
      </c>
      <c r="FG595" t="s">
        <v>1</v>
      </c>
      <c r="FH595" t="s">
        <v>1</v>
      </c>
      <c r="FI595" t="s">
        <v>1</v>
      </c>
      <c r="FJ595" t="s">
        <v>1</v>
      </c>
      <c r="FK595" t="s">
        <v>1</v>
      </c>
      <c r="FL595" t="s">
        <v>1</v>
      </c>
      <c r="FM595" t="s">
        <v>1</v>
      </c>
      <c r="FN595" t="s">
        <v>1</v>
      </c>
      <c r="FO595" t="s">
        <v>1</v>
      </c>
      <c r="FP595" t="s">
        <v>1</v>
      </c>
      <c r="FQ595" t="s">
        <v>1</v>
      </c>
      <c r="FR595" t="s">
        <v>1</v>
      </c>
      <c r="FS595" t="s">
        <v>1</v>
      </c>
      <c r="FT595" t="s">
        <v>1</v>
      </c>
      <c r="FU595" t="s">
        <v>1</v>
      </c>
      <c r="FV595" t="s">
        <v>1</v>
      </c>
      <c r="FW595" t="s">
        <v>1</v>
      </c>
      <c r="FX595" t="s">
        <v>1</v>
      </c>
      <c r="FY595" t="s">
        <v>1</v>
      </c>
      <c r="FZ595" t="s">
        <v>1</v>
      </c>
      <c r="GA595" t="s">
        <v>1</v>
      </c>
      <c r="GB595" t="s">
        <v>1</v>
      </c>
      <c r="GC595" t="s">
        <v>1</v>
      </c>
      <c r="GD595" t="s">
        <v>1</v>
      </c>
      <c r="GE595" t="s">
        <v>1</v>
      </c>
      <c r="GF595" t="s">
        <v>1</v>
      </c>
      <c r="GG595" t="s">
        <v>1</v>
      </c>
      <c r="GH595" t="s">
        <v>1</v>
      </c>
      <c r="GI595" t="s">
        <v>1</v>
      </c>
      <c r="GJ595" t="s">
        <v>1</v>
      </c>
      <c r="GK595" t="s">
        <v>1</v>
      </c>
      <c r="GL595" t="s">
        <v>1</v>
      </c>
      <c r="GM595" t="s">
        <v>1</v>
      </c>
      <c r="GN595" t="s">
        <v>1</v>
      </c>
      <c r="GO595" t="s">
        <v>1</v>
      </c>
      <c r="GP595" t="s">
        <v>1</v>
      </c>
      <c r="GQ595" t="s">
        <v>1</v>
      </c>
      <c r="GR595" t="s">
        <v>1</v>
      </c>
      <c r="GS595" t="s">
        <v>1</v>
      </c>
      <c r="GT595" t="s">
        <v>1</v>
      </c>
      <c r="GU595" t="s">
        <v>1</v>
      </c>
      <c r="GV595" t="s">
        <v>1</v>
      </c>
      <c r="GW595" t="s">
        <v>1</v>
      </c>
      <c r="GX595" t="s">
        <v>1</v>
      </c>
      <c r="GY595" t="s">
        <v>1</v>
      </c>
      <c r="GZ595" t="s">
        <v>1</v>
      </c>
      <c r="HA595" t="s">
        <v>1</v>
      </c>
      <c r="HB595" t="s">
        <v>1</v>
      </c>
      <c r="HC595" t="s">
        <v>1</v>
      </c>
      <c r="HD595" t="s">
        <v>1</v>
      </c>
      <c r="HE595" t="s">
        <v>1</v>
      </c>
      <c r="HF595" t="s">
        <v>1</v>
      </c>
      <c r="HG595" t="s">
        <v>1</v>
      </c>
      <c r="HH595" t="s">
        <v>1</v>
      </c>
      <c r="HI595" t="s">
        <v>1</v>
      </c>
      <c r="HJ595" t="s">
        <v>1</v>
      </c>
      <c r="HK595" t="s">
        <v>1</v>
      </c>
      <c r="HL595" t="s">
        <v>1</v>
      </c>
      <c r="HM595" t="s">
        <v>1</v>
      </c>
      <c r="HN595" t="s">
        <v>1</v>
      </c>
      <c r="HO595" t="s">
        <v>1</v>
      </c>
      <c r="HP595" t="s">
        <v>1</v>
      </c>
      <c r="HQ595" t="s">
        <v>1</v>
      </c>
      <c r="HR595" t="s">
        <v>1</v>
      </c>
      <c r="HS595" t="s">
        <v>1</v>
      </c>
      <c r="HT595" t="s">
        <v>1</v>
      </c>
      <c r="HU595" t="s">
        <v>1</v>
      </c>
      <c r="HV595" t="s">
        <v>1</v>
      </c>
      <c r="HW595" t="s">
        <v>1</v>
      </c>
      <c r="HX595" t="s">
        <v>1</v>
      </c>
      <c r="HY595" t="s">
        <v>1</v>
      </c>
      <c r="HZ595" t="s">
        <v>1</v>
      </c>
      <c r="IA595" t="s">
        <v>1</v>
      </c>
      <c r="IB595" t="s">
        <v>1</v>
      </c>
      <c r="IC595" t="s">
        <v>1</v>
      </c>
      <c r="ID595" t="s">
        <v>1</v>
      </c>
      <c r="IE595" t="s">
        <v>1</v>
      </c>
      <c r="IF595" t="s">
        <v>1</v>
      </c>
      <c r="IG595" t="s">
        <v>1</v>
      </c>
      <c r="IH595" t="s">
        <v>1</v>
      </c>
      <c r="II595" t="s">
        <v>1</v>
      </c>
      <c r="IJ595" t="s">
        <v>1</v>
      </c>
      <c r="IK595" t="s">
        <v>1</v>
      </c>
      <c r="IL595" t="s">
        <v>1</v>
      </c>
      <c r="IM595" t="s">
        <v>1</v>
      </c>
      <c r="IN595" t="s">
        <v>1</v>
      </c>
      <c r="IO595" t="s">
        <v>1</v>
      </c>
      <c r="IP595" t="s">
        <v>1</v>
      </c>
      <c r="IQ595" t="s">
        <v>1</v>
      </c>
      <c r="IR595" t="s">
        <v>1</v>
      </c>
      <c r="IS595" t="s">
        <v>1</v>
      </c>
      <c r="IT595" t="s">
        <v>1</v>
      </c>
      <c r="IU595" t="s">
        <v>1</v>
      </c>
      <c r="IV595" t="s">
        <v>1</v>
      </c>
      <c r="IW595" t="s">
        <v>1</v>
      </c>
      <c r="IX595" t="s">
        <v>1</v>
      </c>
      <c r="IY595" t="s">
        <v>1</v>
      </c>
      <c r="IZ595" t="s">
        <v>1</v>
      </c>
      <c r="JA595" t="s">
        <v>1</v>
      </c>
      <c r="JB595" t="s">
        <v>1</v>
      </c>
      <c r="JC595" t="s">
        <v>1</v>
      </c>
      <c r="JD595" t="s">
        <v>1</v>
      </c>
      <c r="JE595" t="s">
        <v>1</v>
      </c>
      <c r="JF595" t="s">
        <v>1</v>
      </c>
      <c r="JG595" t="s">
        <v>1</v>
      </c>
      <c r="JH595" t="s">
        <v>1</v>
      </c>
      <c r="JI595" t="s">
        <v>1</v>
      </c>
      <c r="JJ595" t="s">
        <v>1</v>
      </c>
      <c r="JK595" t="s">
        <v>1</v>
      </c>
      <c r="JL595" t="s">
        <v>1</v>
      </c>
      <c r="JM595" t="s">
        <v>1</v>
      </c>
      <c r="JN595" t="s">
        <v>1</v>
      </c>
      <c r="JO595" t="s">
        <v>1</v>
      </c>
      <c r="JP595" t="s">
        <v>1</v>
      </c>
      <c r="JQ595" t="s">
        <v>1</v>
      </c>
      <c r="JR595" t="s">
        <v>1</v>
      </c>
      <c r="JS595" t="s">
        <v>1</v>
      </c>
      <c r="JT595" t="s">
        <v>1</v>
      </c>
      <c r="JU595" t="s">
        <v>1</v>
      </c>
      <c r="JV595" t="s">
        <v>1</v>
      </c>
      <c r="JW595" t="s">
        <v>1</v>
      </c>
      <c r="JX595" t="s">
        <v>1</v>
      </c>
      <c r="JY595" t="s">
        <v>1</v>
      </c>
      <c r="JZ595" t="s">
        <v>1</v>
      </c>
      <c r="KA595" t="s">
        <v>1</v>
      </c>
      <c r="KB595" t="s">
        <v>1</v>
      </c>
      <c r="KC595" t="s">
        <v>1</v>
      </c>
      <c r="KD595" t="s">
        <v>1</v>
      </c>
      <c r="KE595" t="s">
        <v>1</v>
      </c>
      <c r="KF595" t="s">
        <v>1</v>
      </c>
      <c r="KG595" t="s">
        <v>1</v>
      </c>
      <c r="KH595" t="s">
        <v>1</v>
      </c>
      <c r="KI595" t="s">
        <v>1</v>
      </c>
      <c r="KJ595" t="s">
        <v>1</v>
      </c>
      <c r="KK595" t="s">
        <v>1</v>
      </c>
    </row>
    <row r="596" spans="1:297" x14ac:dyDescent="0.2">
      <c r="A596" t="s">
        <v>1</v>
      </c>
      <c r="B596" t="s">
        <v>1</v>
      </c>
      <c r="C596" t="s">
        <v>1</v>
      </c>
      <c r="D596" t="s">
        <v>1</v>
      </c>
      <c r="E596" t="s">
        <v>1</v>
      </c>
      <c r="F596" t="s">
        <v>1</v>
      </c>
      <c r="G596" t="s">
        <v>1</v>
      </c>
      <c r="H596" t="s">
        <v>1</v>
      </c>
      <c r="I596" t="s">
        <v>1</v>
      </c>
      <c r="J596" t="s">
        <v>1</v>
      </c>
      <c r="K596" t="s">
        <v>1</v>
      </c>
      <c r="L596" t="s">
        <v>1</v>
      </c>
      <c r="M596" t="s">
        <v>1</v>
      </c>
      <c r="N596" t="s">
        <v>1</v>
      </c>
      <c r="O596" t="s">
        <v>1</v>
      </c>
      <c r="P596" t="s">
        <v>1</v>
      </c>
      <c r="Q596" t="s">
        <v>1</v>
      </c>
      <c r="R596" t="s">
        <v>1</v>
      </c>
      <c r="S596" t="s">
        <v>1</v>
      </c>
      <c r="T596" t="s">
        <v>1</v>
      </c>
      <c r="U596" t="s">
        <v>1</v>
      </c>
      <c r="V596" t="s">
        <v>1</v>
      </c>
      <c r="W596" t="s">
        <v>1</v>
      </c>
      <c r="X596" t="s">
        <v>1</v>
      </c>
      <c r="Y596" t="s">
        <v>1</v>
      </c>
      <c r="Z596" t="s">
        <v>1</v>
      </c>
      <c r="AA596" t="s">
        <v>1</v>
      </c>
      <c r="AB596" t="s">
        <v>1</v>
      </c>
      <c r="AC596" t="s">
        <v>1</v>
      </c>
      <c r="AD596" t="s">
        <v>1</v>
      </c>
      <c r="AE596" t="s">
        <v>1</v>
      </c>
      <c r="AF596" t="s">
        <v>1</v>
      </c>
      <c r="AG596" t="s">
        <v>1</v>
      </c>
      <c r="AH596" t="s">
        <v>1</v>
      </c>
      <c r="AI596" t="s">
        <v>1</v>
      </c>
      <c r="AJ596" t="s">
        <v>1</v>
      </c>
      <c r="AK596" t="s">
        <v>1</v>
      </c>
      <c r="AL596" t="s">
        <v>1</v>
      </c>
      <c r="AM596" t="s">
        <v>1</v>
      </c>
      <c r="AN596" t="s">
        <v>1</v>
      </c>
      <c r="AO596" t="s">
        <v>1</v>
      </c>
      <c r="AP596" t="s">
        <v>1</v>
      </c>
      <c r="AQ596" t="s">
        <v>1</v>
      </c>
      <c r="AR596" t="s">
        <v>1</v>
      </c>
      <c r="AS596" t="s">
        <v>1</v>
      </c>
      <c r="AT596" t="s">
        <v>1</v>
      </c>
      <c r="AU596" t="s">
        <v>1</v>
      </c>
      <c r="AV596" t="s">
        <v>1</v>
      </c>
      <c r="AW596" t="s">
        <v>1</v>
      </c>
      <c r="AX596" t="s">
        <v>1</v>
      </c>
      <c r="AY596" t="s">
        <v>1</v>
      </c>
      <c r="AZ596" t="s">
        <v>1</v>
      </c>
      <c r="BA596" t="s">
        <v>1</v>
      </c>
      <c r="BD596" t="s">
        <v>1</v>
      </c>
      <c r="BE596" t="s">
        <v>1</v>
      </c>
      <c r="BF596" t="s">
        <v>1</v>
      </c>
      <c r="BG596" t="s">
        <v>1</v>
      </c>
      <c r="BH596" t="s">
        <v>1</v>
      </c>
      <c r="BI596" t="s">
        <v>1</v>
      </c>
      <c r="BJ596" t="s">
        <v>1</v>
      </c>
      <c r="BK596" t="s">
        <v>1</v>
      </c>
      <c r="BL596" t="s">
        <v>1</v>
      </c>
      <c r="BM596" t="s">
        <v>1</v>
      </c>
      <c r="BN596" t="s">
        <v>1</v>
      </c>
      <c r="BO596" t="s">
        <v>1</v>
      </c>
      <c r="BP596" t="s">
        <v>1</v>
      </c>
      <c r="BQ596" t="s">
        <v>1</v>
      </c>
      <c r="BR596" t="s">
        <v>1</v>
      </c>
      <c r="BS596" t="s">
        <v>1</v>
      </c>
      <c r="BT596" t="s">
        <v>1</v>
      </c>
      <c r="BU596" t="s">
        <v>1</v>
      </c>
      <c r="BV596" t="s">
        <v>1</v>
      </c>
      <c r="BW596" t="s">
        <v>1</v>
      </c>
      <c r="BX596" t="s">
        <v>1</v>
      </c>
      <c r="BY596" t="s">
        <v>1</v>
      </c>
      <c r="BZ596" t="s">
        <v>1</v>
      </c>
      <c r="CA596" t="s">
        <v>1</v>
      </c>
      <c r="CB596" t="s">
        <v>1</v>
      </c>
      <c r="CC596" t="s">
        <v>1</v>
      </c>
      <c r="CD596" t="s">
        <v>1</v>
      </c>
      <c r="CE596" t="s">
        <v>1</v>
      </c>
      <c r="CF596" t="s">
        <v>1</v>
      </c>
      <c r="CG596" t="s">
        <v>1</v>
      </c>
      <c r="CH596" t="s">
        <v>1</v>
      </c>
      <c r="CI596" t="s">
        <v>1</v>
      </c>
      <c r="CJ596" t="s">
        <v>1</v>
      </c>
      <c r="CK596" t="s">
        <v>1</v>
      </c>
      <c r="CL596" t="s">
        <v>1</v>
      </c>
      <c r="CM596" t="s">
        <v>1</v>
      </c>
      <c r="CN596" t="s">
        <v>1</v>
      </c>
      <c r="CO596" t="s">
        <v>1</v>
      </c>
      <c r="CP596" s="4" t="s">
        <v>1</v>
      </c>
      <c r="CQ596" s="4" t="s">
        <v>1</v>
      </c>
      <c r="CR596" s="4" t="s">
        <v>1</v>
      </c>
      <c r="CS596" s="4" t="s">
        <v>1</v>
      </c>
      <c r="CT596" s="4" t="s">
        <v>1</v>
      </c>
      <c r="CU596" s="4" t="s">
        <v>1</v>
      </c>
      <c r="CV596" t="s">
        <v>1</v>
      </c>
      <c r="CW596" t="s">
        <v>1</v>
      </c>
      <c r="CX596" t="s">
        <v>1</v>
      </c>
      <c r="CY596" t="s">
        <v>1</v>
      </c>
      <c r="CZ596" t="s">
        <v>1</v>
      </c>
      <c r="DA596" t="s">
        <v>1</v>
      </c>
      <c r="DB596" t="s">
        <v>1</v>
      </c>
      <c r="DC596" t="s">
        <v>1</v>
      </c>
      <c r="DD596" t="s">
        <v>1</v>
      </c>
      <c r="DE596" t="s">
        <v>1</v>
      </c>
      <c r="DF596" t="s">
        <v>1</v>
      </c>
      <c r="DG596" t="s">
        <v>1</v>
      </c>
      <c r="DH596" t="s">
        <v>1</v>
      </c>
      <c r="DI596" t="s">
        <v>1</v>
      </c>
      <c r="DJ596" t="s">
        <v>1</v>
      </c>
      <c r="DK596" t="s">
        <v>1</v>
      </c>
      <c r="DL596" t="s">
        <v>1</v>
      </c>
      <c r="DM596" t="s">
        <v>1</v>
      </c>
      <c r="DN596" t="s">
        <v>1</v>
      </c>
      <c r="DO596" t="s">
        <v>1</v>
      </c>
      <c r="DP596" t="s">
        <v>1</v>
      </c>
      <c r="DQ596" t="s">
        <v>1</v>
      </c>
      <c r="DR596" t="s">
        <v>1</v>
      </c>
      <c r="DS596" t="s">
        <v>1</v>
      </c>
      <c r="DT596" t="s">
        <v>1</v>
      </c>
      <c r="DU596" t="s">
        <v>1</v>
      </c>
      <c r="DV596" t="s">
        <v>1</v>
      </c>
      <c r="DW596" t="s">
        <v>1</v>
      </c>
      <c r="DX596" t="s">
        <v>1</v>
      </c>
      <c r="DY596" t="s">
        <v>1</v>
      </c>
      <c r="DZ596" t="s">
        <v>1</v>
      </c>
      <c r="EA596" t="s">
        <v>1</v>
      </c>
      <c r="EB596" t="s">
        <v>1</v>
      </c>
      <c r="EC596" t="s">
        <v>1</v>
      </c>
      <c r="ED596" t="s">
        <v>1</v>
      </c>
      <c r="EE596" t="s">
        <v>1</v>
      </c>
      <c r="EG596" t="s">
        <v>1</v>
      </c>
      <c r="EH596" t="s">
        <v>1</v>
      </c>
      <c r="EI596" t="s">
        <v>1</v>
      </c>
      <c r="EJ596" t="s">
        <v>1</v>
      </c>
      <c r="EK596" t="s">
        <v>1</v>
      </c>
      <c r="EL596" t="s">
        <v>1</v>
      </c>
      <c r="EM596" t="s">
        <v>1</v>
      </c>
      <c r="EN596" t="s">
        <v>1</v>
      </c>
      <c r="EO596" t="s">
        <v>1</v>
      </c>
      <c r="EP596" t="s">
        <v>1</v>
      </c>
      <c r="EQ596" t="s">
        <v>1</v>
      </c>
      <c r="ER596" t="s">
        <v>1</v>
      </c>
      <c r="ES596" t="s">
        <v>1</v>
      </c>
      <c r="ET596" t="s">
        <v>1</v>
      </c>
      <c r="EU596" t="s">
        <v>1</v>
      </c>
      <c r="EV596" t="s">
        <v>1</v>
      </c>
      <c r="EW596" t="s">
        <v>1</v>
      </c>
      <c r="EX596" t="s">
        <v>1</v>
      </c>
      <c r="EY596" t="s">
        <v>1</v>
      </c>
      <c r="EZ596" t="s">
        <v>1</v>
      </c>
      <c r="FA596" t="s">
        <v>1</v>
      </c>
      <c r="FB596" t="s">
        <v>1</v>
      </c>
      <c r="FC596" t="s">
        <v>1</v>
      </c>
      <c r="FD596" t="s">
        <v>1</v>
      </c>
      <c r="FE596" t="s">
        <v>1</v>
      </c>
      <c r="FF596" t="s">
        <v>1</v>
      </c>
      <c r="FG596" t="s">
        <v>1</v>
      </c>
      <c r="FH596" t="s">
        <v>1</v>
      </c>
      <c r="FI596" t="s">
        <v>1</v>
      </c>
      <c r="FJ596" t="s">
        <v>1</v>
      </c>
      <c r="FK596" t="s">
        <v>1</v>
      </c>
      <c r="FL596" t="s">
        <v>1</v>
      </c>
      <c r="FM596" t="s">
        <v>1</v>
      </c>
      <c r="FN596" t="s">
        <v>1</v>
      </c>
      <c r="FO596" t="s">
        <v>1</v>
      </c>
      <c r="FP596" t="s">
        <v>1</v>
      </c>
      <c r="FQ596" t="s">
        <v>1</v>
      </c>
      <c r="FR596" t="s">
        <v>1</v>
      </c>
      <c r="FS596" t="s">
        <v>1</v>
      </c>
      <c r="FT596" t="s">
        <v>1</v>
      </c>
      <c r="FU596" t="s">
        <v>1</v>
      </c>
      <c r="FV596" t="s">
        <v>1</v>
      </c>
      <c r="FW596" t="s">
        <v>1</v>
      </c>
      <c r="FX596" t="s">
        <v>1</v>
      </c>
      <c r="FY596" t="s">
        <v>1</v>
      </c>
      <c r="FZ596" t="s">
        <v>1</v>
      </c>
      <c r="GA596" t="s">
        <v>1</v>
      </c>
      <c r="GB596" t="s">
        <v>1</v>
      </c>
      <c r="GC596" t="s">
        <v>1</v>
      </c>
      <c r="GD596" t="s">
        <v>1</v>
      </c>
      <c r="GE596" t="s">
        <v>1</v>
      </c>
      <c r="GF596" t="s">
        <v>1</v>
      </c>
      <c r="GG596" t="s">
        <v>1</v>
      </c>
      <c r="GH596" t="s">
        <v>1</v>
      </c>
      <c r="GI596" t="s">
        <v>1</v>
      </c>
      <c r="GJ596" t="s">
        <v>1</v>
      </c>
      <c r="GK596" t="s">
        <v>1</v>
      </c>
      <c r="GL596" t="s">
        <v>1</v>
      </c>
      <c r="GM596" t="s">
        <v>1</v>
      </c>
      <c r="GN596" t="s">
        <v>1</v>
      </c>
      <c r="GO596" t="s">
        <v>1</v>
      </c>
      <c r="GP596" t="s">
        <v>1</v>
      </c>
      <c r="GQ596" t="s">
        <v>1</v>
      </c>
      <c r="GR596" t="s">
        <v>1</v>
      </c>
      <c r="GS596" t="s">
        <v>1</v>
      </c>
      <c r="GT596" t="s">
        <v>1</v>
      </c>
      <c r="GU596" t="s">
        <v>1</v>
      </c>
      <c r="GV596" t="s">
        <v>1</v>
      </c>
      <c r="GW596" t="s">
        <v>1</v>
      </c>
      <c r="GX596" t="s">
        <v>1</v>
      </c>
      <c r="GY596" t="s">
        <v>1</v>
      </c>
      <c r="GZ596" t="s">
        <v>1</v>
      </c>
      <c r="HA596" t="s">
        <v>1</v>
      </c>
      <c r="HB596" t="s">
        <v>1</v>
      </c>
      <c r="HC596" t="s">
        <v>1</v>
      </c>
      <c r="HD596" t="s">
        <v>1</v>
      </c>
      <c r="HE596" t="s">
        <v>1</v>
      </c>
      <c r="HF596" t="s">
        <v>1</v>
      </c>
      <c r="HG596" t="s">
        <v>1</v>
      </c>
      <c r="HH596" t="s">
        <v>1</v>
      </c>
      <c r="HI596" t="s">
        <v>1</v>
      </c>
      <c r="HJ596" t="s">
        <v>1</v>
      </c>
      <c r="HK596" t="s">
        <v>1</v>
      </c>
      <c r="HL596" t="s">
        <v>1</v>
      </c>
      <c r="HM596" t="s">
        <v>1</v>
      </c>
      <c r="HN596" t="s">
        <v>1</v>
      </c>
      <c r="HO596" t="s">
        <v>1</v>
      </c>
      <c r="HP596" t="s">
        <v>1</v>
      </c>
      <c r="HQ596" t="s">
        <v>1</v>
      </c>
      <c r="HR596" t="s">
        <v>1</v>
      </c>
      <c r="HS596" t="s">
        <v>1</v>
      </c>
      <c r="HT596" t="s">
        <v>1</v>
      </c>
      <c r="HU596" t="s">
        <v>1</v>
      </c>
      <c r="HV596" t="s">
        <v>1</v>
      </c>
      <c r="HW596" t="s">
        <v>1</v>
      </c>
      <c r="HX596" t="s">
        <v>1</v>
      </c>
      <c r="HY596" t="s">
        <v>1</v>
      </c>
      <c r="HZ596" t="s">
        <v>1</v>
      </c>
      <c r="IA596" t="s">
        <v>1</v>
      </c>
      <c r="IB596" t="s">
        <v>1</v>
      </c>
      <c r="IC596" t="s">
        <v>1</v>
      </c>
      <c r="ID596" t="s">
        <v>1</v>
      </c>
      <c r="IE596" t="s">
        <v>1</v>
      </c>
      <c r="IF596" t="s">
        <v>1</v>
      </c>
      <c r="IG596" t="s">
        <v>1</v>
      </c>
      <c r="IH596" t="s">
        <v>1</v>
      </c>
      <c r="II596" t="s">
        <v>1</v>
      </c>
      <c r="IJ596" t="s">
        <v>1</v>
      </c>
      <c r="IK596" t="s">
        <v>1</v>
      </c>
      <c r="IL596" t="s">
        <v>1</v>
      </c>
      <c r="IM596" t="s">
        <v>1</v>
      </c>
      <c r="IN596" t="s">
        <v>1</v>
      </c>
      <c r="IO596" t="s">
        <v>1</v>
      </c>
      <c r="IP596" t="s">
        <v>1</v>
      </c>
      <c r="IQ596" t="s">
        <v>1</v>
      </c>
      <c r="IR596" t="s">
        <v>1</v>
      </c>
      <c r="IS596" t="s">
        <v>1</v>
      </c>
      <c r="IT596" t="s">
        <v>1</v>
      </c>
      <c r="IU596" t="s">
        <v>1</v>
      </c>
      <c r="IV596" t="s">
        <v>1</v>
      </c>
      <c r="IW596" t="s">
        <v>1</v>
      </c>
      <c r="IX596" t="s">
        <v>1</v>
      </c>
      <c r="IY596" t="s">
        <v>1</v>
      </c>
      <c r="IZ596" t="s">
        <v>1</v>
      </c>
      <c r="JA596" t="s">
        <v>1</v>
      </c>
      <c r="JB596" t="s">
        <v>1</v>
      </c>
      <c r="JC596" t="s">
        <v>1</v>
      </c>
      <c r="JD596" t="s">
        <v>1</v>
      </c>
      <c r="JE596" t="s">
        <v>1</v>
      </c>
      <c r="JF596" t="s">
        <v>1</v>
      </c>
      <c r="JG596" t="s">
        <v>1</v>
      </c>
      <c r="JH596" t="s">
        <v>1</v>
      </c>
      <c r="JI596" t="s">
        <v>1</v>
      </c>
      <c r="JJ596" t="s">
        <v>1</v>
      </c>
      <c r="JK596" t="s">
        <v>1</v>
      </c>
      <c r="JL596" t="s">
        <v>1</v>
      </c>
      <c r="JM596" t="s">
        <v>1</v>
      </c>
      <c r="JN596" t="s">
        <v>1</v>
      </c>
      <c r="JO596" t="s">
        <v>1</v>
      </c>
      <c r="JP596" t="s">
        <v>1</v>
      </c>
      <c r="JQ596" t="s">
        <v>1</v>
      </c>
      <c r="JR596" t="s">
        <v>1</v>
      </c>
      <c r="JS596" t="s">
        <v>1</v>
      </c>
      <c r="JT596" t="s">
        <v>1</v>
      </c>
      <c r="JU596" t="s">
        <v>1</v>
      </c>
      <c r="JV596" t="s">
        <v>1</v>
      </c>
      <c r="JW596" t="s">
        <v>1</v>
      </c>
      <c r="JX596" t="s">
        <v>1</v>
      </c>
      <c r="JY596" t="s">
        <v>1</v>
      </c>
      <c r="JZ596" t="s">
        <v>1</v>
      </c>
      <c r="KA596" t="s">
        <v>1</v>
      </c>
      <c r="KB596" t="s">
        <v>1</v>
      </c>
      <c r="KC596" t="s">
        <v>1</v>
      </c>
      <c r="KD596" t="s">
        <v>1</v>
      </c>
      <c r="KE596" t="s">
        <v>1</v>
      </c>
      <c r="KF596" t="s">
        <v>1</v>
      </c>
      <c r="KG596" t="s">
        <v>1</v>
      </c>
      <c r="KH596" t="s">
        <v>1</v>
      </c>
      <c r="KI596" t="s">
        <v>1</v>
      </c>
      <c r="KJ596" t="s">
        <v>1</v>
      </c>
      <c r="KK596" t="s">
        <v>1</v>
      </c>
    </row>
    <row r="597" spans="1:297" x14ac:dyDescent="0.2">
      <c r="A597" t="s">
        <v>1</v>
      </c>
      <c r="B597" t="s">
        <v>1</v>
      </c>
      <c r="C597" t="s">
        <v>1</v>
      </c>
      <c r="D597" t="s">
        <v>1</v>
      </c>
      <c r="E597" t="s">
        <v>1</v>
      </c>
      <c r="F597" t="s">
        <v>1</v>
      </c>
      <c r="G597" t="s">
        <v>1</v>
      </c>
      <c r="H597" t="s">
        <v>1</v>
      </c>
      <c r="I597" t="s">
        <v>1</v>
      </c>
      <c r="J597" t="s">
        <v>1</v>
      </c>
      <c r="K597" t="s">
        <v>1</v>
      </c>
      <c r="L597" t="s">
        <v>1</v>
      </c>
      <c r="M597" t="s">
        <v>1</v>
      </c>
      <c r="N597" t="s">
        <v>1</v>
      </c>
      <c r="O597" t="s">
        <v>1</v>
      </c>
      <c r="P597" t="s">
        <v>1</v>
      </c>
      <c r="Q597" t="s">
        <v>1</v>
      </c>
      <c r="R597" t="s">
        <v>1</v>
      </c>
      <c r="S597" t="s">
        <v>1</v>
      </c>
      <c r="T597" t="s">
        <v>1</v>
      </c>
      <c r="U597" t="s">
        <v>1</v>
      </c>
      <c r="V597" t="s">
        <v>1</v>
      </c>
      <c r="W597" t="s">
        <v>1</v>
      </c>
      <c r="X597" t="s">
        <v>1</v>
      </c>
      <c r="Y597" t="s">
        <v>1</v>
      </c>
      <c r="Z597" t="s">
        <v>1</v>
      </c>
      <c r="AA597" t="s">
        <v>1</v>
      </c>
      <c r="AB597" t="s">
        <v>1</v>
      </c>
      <c r="AC597" t="s">
        <v>1</v>
      </c>
      <c r="AD597" t="s">
        <v>1</v>
      </c>
      <c r="AE597" t="s">
        <v>1</v>
      </c>
      <c r="AF597" t="s">
        <v>1</v>
      </c>
      <c r="AG597" t="s">
        <v>1</v>
      </c>
      <c r="AH597" t="s">
        <v>1</v>
      </c>
      <c r="AI597" t="s">
        <v>1</v>
      </c>
      <c r="AJ597" t="s">
        <v>1</v>
      </c>
      <c r="AK597" t="s">
        <v>1</v>
      </c>
      <c r="AL597" t="s">
        <v>1</v>
      </c>
      <c r="AM597" t="s">
        <v>1</v>
      </c>
      <c r="AN597" t="s">
        <v>1</v>
      </c>
      <c r="AO597" t="s">
        <v>1</v>
      </c>
      <c r="AP597" t="s">
        <v>1</v>
      </c>
      <c r="AQ597" t="s">
        <v>1</v>
      </c>
      <c r="AR597" t="s">
        <v>1</v>
      </c>
      <c r="AS597" t="s">
        <v>1</v>
      </c>
      <c r="AT597" t="s">
        <v>1</v>
      </c>
      <c r="AU597" t="s">
        <v>1</v>
      </c>
      <c r="AV597" t="s">
        <v>1</v>
      </c>
      <c r="AW597" t="s">
        <v>1</v>
      </c>
      <c r="AX597" t="s">
        <v>1</v>
      </c>
      <c r="AY597" t="s">
        <v>1</v>
      </c>
      <c r="AZ597" t="s">
        <v>1</v>
      </c>
      <c r="BA597" t="s">
        <v>1</v>
      </c>
      <c r="BD597" t="s">
        <v>1</v>
      </c>
      <c r="BE597" t="s">
        <v>1</v>
      </c>
      <c r="BF597" t="s">
        <v>1</v>
      </c>
      <c r="BG597" t="s">
        <v>1</v>
      </c>
      <c r="BH597" t="s">
        <v>1</v>
      </c>
      <c r="BI597" t="s">
        <v>1</v>
      </c>
      <c r="BJ597" t="s">
        <v>1</v>
      </c>
      <c r="BK597" t="s">
        <v>1</v>
      </c>
      <c r="BL597" t="s">
        <v>1</v>
      </c>
      <c r="BM597" t="s">
        <v>1</v>
      </c>
      <c r="BN597" t="s">
        <v>1</v>
      </c>
      <c r="BO597" t="s">
        <v>1</v>
      </c>
      <c r="BP597" t="s">
        <v>1</v>
      </c>
      <c r="BQ597" t="s">
        <v>1</v>
      </c>
      <c r="BR597" t="s">
        <v>1</v>
      </c>
      <c r="BS597" t="s">
        <v>1</v>
      </c>
      <c r="BT597" t="s">
        <v>1</v>
      </c>
      <c r="BU597" t="s">
        <v>1</v>
      </c>
      <c r="BV597" t="s">
        <v>1</v>
      </c>
      <c r="BW597" t="s">
        <v>1</v>
      </c>
      <c r="BX597" t="s">
        <v>1</v>
      </c>
      <c r="BY597" t="s">
        <v>1</v>
      </c>
      <c r="BZ597" t="s">
        <v>1</v>
      </c>
      <c r="CA597" t="s">
        <v>1</v>
      </c>
      <c r="CB597" t="s">
        <v>1</v>
      </c>
      <c r="CC597" t="s">
        <v>1</v>
      </c>
      <c r="CD597" t="s">
        <v>1</v>
      </c>
      <c r="CE597" t="s">
        <v>1</v>
      </c>
      <c r="CF597" t="s">
        <v>1</v>
      </c>
      <c r="CG597" t="s">
        <v>1</v>
      </c>
      <c r="CH597" t="s">
        <v>1</v>
      </c>
      <c r="CI597" t="s">
        <v>1</v>
      </c>
      <c r="CJ597" t="s">
        <v>1</v>
      </c>
      <c r="CK597" t="s">
        <v>1</v>
      </c>
      <c r="CL597" t="s">
        <v>1</v>
      </c>
      <c r="CM597" t="s">
        <v>1</v>
      </c>
      <c r="CN597" t="s">
        <v>1</v>
      </c>
      <c r="CO597" t="s">
        <v>1</v>
      </c>
      <c r="CP597" s="4" t="s">
        <v>1</v>
      </c>
      <c r="CQ597" s="4" t="s">
        <v>1</v>
      </c>
      <c r="CR597" s="4" t="s">
        <v>1</v>
      </c>
      <c r="CS597" s="4" t="s">
        <v>1</v>
      </c>
      <c r="CT597" s="4" t="s">
        <v>1</v>
      </c>
      <c r="CU597" s="4" t="s">
        <v>1</v>
      </c>
      <c r="CV597" t="s">
        <v>1</v>
      </c>
      <c r="CW597" t="s">
        <v>1</v>
      </c>
      <c r="CX597" t="s">
        <v>1</v>
      </c>
      <c r="CY597" t="s">
        <v>1</v>
      </c>
      <c r="CZ597" t="s">
        <v>1</v>
      </c>
      <c r="DA597" t="s">
        <v>1</v>
      </c>
      <c r="DB597" t="s">
        <v>1</v>
      </c>
      <c r="DC597" t="s">
        <v>1</v>
      </c>
      <c r="DD597" t="s">
        <v>1</v>
      </c>
      <c r="DE597" t="s">
        <v>1</v>
      </c>
      <c r="DF597" t="s">
        <v>1</v>
      </c>
      <c r="DG597" t="s">
        <v>1</v>
      </c>
      <c r="DH597" t="s">
        <v>1</v>
      </c>
      <c r="DI597" t="s">
        <v>1</v>
      </c>
      <c r="DJ597" t="s">
        <v>1</v>
      </c>
      <c r="DK597" t="s">
        <v>1</v>
      </c>
      <c r="DL597" t="s">
        <v>1</v>
      </c>
      <c r="DM597" t="s">
        <v>1</v>
      </c>
      <c r="DN597" t="s">
        <v>1</v>
      </c>
      <c r="DO597" t="s">
        <v>1</v>
      </c>
      <c r="DP597" t="s">
        <v>1</v>
      </c>
      <c r="DQ597" t="s">
        <v>1</v>
      </c>
      <c r="DR597" t="s">
        <v>1</v>
      </c>
      <c r="DS597" t="s">
        <v>1</v>
      </c>
      <c r="DT597" t="s">
        <v>1</v>
      </c>
      <c r="DU597" t="s">
        <v>1</v>
      </c>
      <c r="DV597" t="s">
        <v>1</v>
      </c>
      <c r="DW597" t="s">
        <v>1</v>
      </c>
      <c r="DX597" t="s">
        <v>1</v>
      </c>
      <c r="DY597" t="s">
        <v>1</v>
      </c>
      <c r="DZ597" t="s">
        <v>1</v>
      </c>
      <c r="EA597" t="s">
        <v>1</v>
      </c>
      <c r="EB597" t="s">
        <v>1</v>
      </c>
      <c r="EC597" t="s">
        <v>1</v>
      </c>
      <c r="ED597" t="s">
        <v>1</v>
      </c>
      <c r="EE597" t="s">
        <v>1</v>
      </c>
      <c r="EG597" t="s">
        <v>1</v>
      </c>
      <c r="EH597" t="s">
        <v>1</v>
      </c>
      <c r="EI597" t="s">
        <v>1</v>
      </c>
      <c r="EJ597" t="s">
        <v>1</v>
      </c>
      <c r="EK597" t="s">
        <v>1</v>
      </c>
      <c r="EL597" t="s">
        <v>1</v>
      </c>
      <c r="EM597" t="s">
        <v>1</v>
      </c>
      <c r="EN597" t="s">
        <v>1</v>
      </c>
      <c r="EO597" t="s">
        <v>1</v>
      </c>
      <c r="EP597" t="s">
        <v>1</v>
      </c>
      <c r="EQ597" t="s">
        <v>1</v>
      </c>
      <c r="ER597" t="s">
        <v>1</v>
      </c>
      <c r="ES597" t="s">
        <v>1</v>
      </c>
      <c r="ET597" t="s">
        <v>1</v>
      </c>
      <c r="EU597" t="s">
        <v>1</v>
      </c>
      <c r="EV597" t="s">
        <v>1</v>
      </c>
      <c r="EW597" t="s">
        <v>1</v>
      </c>
      <c r="EX597" t="s">
        <v>1</v>
      </c>
      <c r="EY597" t="s">
        <v>1</v>
      </c>
      <c r="EZ597" t="s">
        <v>1</v>
      </c>
      <c r="FA597" t="s">
        <v>1</v>
      </c>
      <c r="FB597" t="s">
        <v>1</v>
      </c>
      <c r="FC597" t="s">
        <v>1</v>
      </c>
      <c r="FD597" t="s">
        <v>1</v>
      </c>
      <c r="FE597" t="s">
        <v>1</v>
      </c>
      <c r="FF597" t="s">
        <v>1</v>
      </c>
      <c r="FG597" t="s">
        <v>1</v>
      </c>
      <c r="FH597" t="s">
        <v>1</v>
      </c>
      <c r="FI597" t="s">
        <v>1</v>
      </c>
      <c r="FJ597" t="s">
        <v>1</v>
      </c>
      <c r="FK597" t="s">
        <v>1</v>
      </c>
      <c r="FL597" t="s">
        <v>1</v>
      </c>
      <c r="FM597" t="s">
        <v>1</v>
      </c>
      <c r="FN597" t="s">
        <v>1</v>
      </c>
      <c r="FO597" t="s">
        <v>1</v>
      </c>
      <c r="FP597" t="s">
        <v>1</v>
      </c>
      <c r="FQ597" t="s">
        <v>1</v>
      </c>
      <c r="FR597" t="s">
        <v>1</v>
      </c>
      <c r="FS597" t="s">
        <v>1</v>
      </c>
      <c r="FT597" t="s">
        <v>1</v>
      </c>
      <c r="FU597" t="s">
        <v>1</v>
      </c>
      <c r="FV597" t="s">
        <v>1</v>
      </c>
      <c r="FW597" t="s">
        <v>1</v>
      </c>
      <c r="FX597" t="s">
        <v>1</v>
      </c>
      <c r="FY597" t="s">
        <v>1</v>
      </c>
      <c r="FZ597" t="s">
        <v>1</v>
      </c>
      <c r="GA597" t="s">
        <v>1</v>
      </c>
      <c r="GB597" t="s">
        <v>1</v>
      </c>
      <c r="GC597" t="s">
        <v>1</v>
      </c>
      <c r="GD597" t="s">
        <v>1</v>
      </c>
      <c r="GE597" t="s">
        <v>1</v>
      </c>
      <c r="GF597" t="s">
        <v>1</v>
      </c>
      <c r="GG597" t="s">
        <v>1</v>
      </c>
      <c r="GH597" t="s">
        <v>1</v>
      </c>
      <c r="GI597" t="s">
        <v>1</v>
      </c>
      <c r="GJ597" t="s">
        <v>1</v>
      </c>
      <c r="GK597" t="s">
        <v>1</v>
      </c>
      <c r="GL597" t="s">
        <v>1</v>
      </c>
      <c r="GM597" t="s">
        <v>1</v>
      </c>
      <c r="GN597" t="s">
        <v>1</v>
      </c>
      <c r="GO597" t="s">
        <v>1</v>
      </c>
      <c r="GP597" t="s">
        <v>1</v>
      </c>
      <c r="GQ597" t="s">
        <v>1</v>
      </c>
      <c r="GR597" t="s">
        <v>1</v>
      </c>
      <c r="GS597" t="s">
        <v>1</v>
      </c>
      <c r="GT597" t="s">
        <v>1</v>
      </c>
      <c r="GU597" t="s">
        <v>1</v>
      </c>
      <c r="GV597" t="s">
        <v>1</v>
      </c>
      <c r="GW597" t="s">
        <v>1</v>
      </c>
      <c r="GX597" t="s">
        <v>1</v>
      </c>
      <c r="GY597" t="s">
        <v>1</v>
      </c>
      <c r="GZ597" t="s">
        <v>1</v>
      </c>
      <c r="HA597" t="s">
        <v>1</v>
      </c>
      <c r="HB597" t="s">
        <v>1</v>
      </c>
      <c r="HC597" t="s">
        <v>1</v>
      </c>
      <c r="HD597" t="s">
        <v>1</v>
      </c>
      <c r="HE597" t="s">
        <v>1</v>
      </c>
      <c r="HF597" t="s">
        <v>1</v>
      </c>
      <c r="HG597" t="s">
        <v>1</v>
      </c>
      <c r="HH597" t="s">
        <v>1</v>
      </c>
      <c r="HI597" t="s">
        <v>1</v>
      </c>
      <c r="HJ597" t="s">
        <v>1</v>
      </c>
      <c r="HK597" t="s">
        <v>1</v>
      </c>
      <c r="HL597" t="s">
        <v>1</v>
      </c>
      <c r="HM597" t="s">
        <v>1</v>
      </c>
      <c r="HN597" t="s">
        <v>1</v>
      </c>
      <c r="HO597" t="s">
        <v>1</v>
      </c>
      <c r="HP597" t="s">
        <v>1</v>
      </c>
      <c r="HQ597" t="s">
        <v>1</v>
      </c>
      <c r="HR597" t="s">
        <v>1</v>
      </c>
      <c r="HS597" t="s">
        <v>1</v>
      </c>
      <c r="HT597" t="s">
        <v>1</v>
      </c>
      <c r="HU597" t="s">
        <v>1</v>
      </c>
      <c r="HV597" t="s">
        <v>1</v>
      </c>
      <c r="HW597" t="s">
        <v>1</v>
      </c>
      <c r="HX597" t="s">
        <v>1</v>
      </c>
      <c r="HY597" t="s">
        <v>1</v>
      </c>
      <c r="HZ597" t="s">
        <v>1</v>
      </c>
      <c r="IA597" t="s">
        <v>1</v>
      </c>
      <c r="IB597" t="s">
        <v>1</v>
      </c>
      <c r="IC597" t="s">
        <v>1</v>
      </c>
      <c r="ID597" t="s">
        <v>1</v>
      </c>
      <c r="IE597" t="s">
        <v>1</v>
      </c>
      <c r="IF597" t="s">
        <v>1</v>
      </c>
      <c r="IG597" t="s">
        <v>1</v>
      </c>
      <c r="IH597" t="s">
        <v>1</v>
      </c>
      <c r="II597" t="s">
        <v>1</v>
      </c>
      <c r="IJ597" t="s">
        <v>1</v>
      </c>
      <c r="IK597" t="s">
        <v>1</v>
      </c>
      <c r="IL597" t="s">
        <v>1</v>
      </c>
      <c r="IM597" t="s">
        <v>1</v>
      </c>
      <c r="IN597" t="s">
        <v>1</v>
      </c>
      <c r="IO597" t="s">
        <v>1</v>
      </c>
      <c r="IP597" t="s">
        <v>1</v>
      </c>
      <c r="IQ597" t="s">
        <v>1</v>
      </c>
      <c r="IR597" t="s">
        <v>1</v>
      </c>
      <c r="IS597" t="s">
        <v>1</v>
      </c>
      <c r="IT597" t="s">
        <v>1</v>
      </c>
      <c r="IU597" t="s">
        <v>1</v>
      </c>
      <c r="IV597" t="s">
        <v>1</v>
      </c>
      <c r="IW597" t="s">
        <v>1</v>
      </c>
      <c r="IX597" t="s">
        <v>1</v>
      </c>
      <c r="IY597" t="s">
        <v>1</v>
      </c>
      <c r="IZ597" t="s">
        <v>1</v>
      </c>
      <c r="JA597" t="s">
        <v>1</v>
      </c>
      <c r="JB597" t="s">
        <v>1</v>
      </c>
      <c r="JC597" t="s">
        <v>1</v>
      </c>
      <c r="JD597" t="s">
        <v>1</v>
      </c>
      <c r="JE597" t="s">
        <v>1</v>
      </c>
      <c r="JF597" t="s">
        <v>1</v>
      </c>
      <c r="JG597" t="s">
        <v>1</v>
      </c>
      <c r="JH597" t="s">
        <v>1</v>
      </c>
      <c r="JI597" t="s">
        <v>1</v>
      </c>
      <c r="JJ597" t="s">
        <v>1</v>
      </c>
      <c r="JK597" t="s">
        <v>1</v>
      </c>
      <c r="JL597" t="s">
        <v>1</v>
      </c>
      <c r="JM597" t="s">
        <v>1</v>
      </c>
      <c r="JN597" t="s">
        <v>1</v>
      </c>
      <c r="JO597" t="s">
        <v>1</v>
      </c>
      <c r="JP597" t="s">
        <v>1</v>
      </c>
      <c r="JQ597" t="s">
        <v>1</v>
      </c>
      <c r="JR597" t="s">
        <v>1</v>
      </c>
      <c r="JS597" t="s">
        <v>1</v>
      </c>
      <c r="JT597" t="s">
        <v>1</v>
      </c>
      <c r="JU597" t="s">
        <v>1</v>
      </c>
      <c r="JV597" t="s">
        <v>1</v>
      </c>
      <c r="JW597" t="s">
        <v>1</v>
      </c>
      <c r="JX597" t="s">
        <v>1</v>
      </c>
      <c r="JY597" t="s">
        <v>1</v>
      </c>
      <c r="JZ597" t="s">
        <v>1</v>
      </c>
      <c r="KA597" t="s">
        <v>1</v>
      </c>
      <c r="KB597" t="s">
        <v>1</v>
      </c>
      <c r="KC597" t="s">
        <v>1</v>
      </c>
      <c r="KD597" t="s">
        <v>1</v>
      </c>
      <c r="KE597" t="s">
        <v>1</v>
      </c>
      <c r="KF597" t="s">
        <v>1</v>
      </c>
      <c r="KG597" t="s">
        <v>1</v>
      </c>
      <c r="KH597" t="s">
        <v>1</v>
      </c>
      <c r="KI597" t="s">
        <v>1</v>
      </c>
      <c r="KJ597" t="s">
        <v>1</v>
      </c>
      <c r="KK597" t="s">
        <v>1</v>
      </c>
    </row>
    <row r="598" spans="1:297" x14ac:dyDescent="0.2">
      <c r="A598" t="s">
        <v>1</v>
      </c>
      <c r="B598" t="s">
        <v>1</v>
      </c>
      <c r="C598" t="s">
        <v>1</v>
      </c>
      <c r="D598" t="s">
        <v>1</v>
      </c>
      <c r="E598" t="s">
        <v>1</v>
      </c>
      <c r="F598" t="s">
        <v>1</v>
      </c>
      <c r="G598" t="s">
        <v>1</v>
      </c>
      <c r="H598" t="s">
        <v>1</v>
      </c>
      <c r="I598" t="s">
        <v>1</v>
      </c>
      <c r="J598" t="s">
        <v>1</v>
      </c>
      <c r="K598" t="s">
        <v>1</v>
      </c>
      <c r="L598" t="s">
        <v>1</v>
      </c>
      <c r="M598" t="s">
        <v>1</v>
      </c>
      <c r="N598" t="s">
        <v>1</v>
      </c>
      <c r="O598" t="s">
        <v>1</v>
      </c>
      <c r="P598" t="s">
        <v>1</v>
      </c>
      <c r="Q598" t="s">
        <v>1</v>
      </c>
      <c r="R598" t="s">
        <v>1</v>
      </c>
      <c r="S598" t="s">
        <v>1</v>
      </c>
      <c r="T598" t="s">
        <v>1</v>
      </c>
      <c r="U598" t="s">
        <v>1</v>
      </c>
      <c r="V598" t="s">
        <v>1</v>
      </c>
      <c r="W598" t="s">
        <v>1</v>
      </c>
      <c r="X598" t="s">
        <v>1</v>
      </c>
      <c r="Y598" t="s">
        <v>1</v>
      </c>
      <c r="Z598" t="s">
        <v>1</v>
      </c>
      <c r="AA598" t="s">
        <v>1</v>
      </c>
      <c r="AB598" t="s">
        <v>1</v>
      </c>
      <c r="AC598" t="s">
        <v>1</v>
      </c>
      <c r="AD598" t="s">
        <v>1</v>
      </c>
      <c r="AE598" t="s">
        <v>1</v>
      </c>
      <c r="AF598" t="s">
        <v>1</v>
      </c>
      <c r="AG598" t="s">
        <v>1</v>
      </c>
      <c r="AH598" t="s">
        <v>1</v>
      </c>
      <c r="AI598" t="s">
        <v>1</v>
      </c>
      <c r="AJ598" t="s">
        <v>1</v>
      </c>
      <c r="AK598" t="s">
        <v>1</v>
      </c>
      <c r="AL598" t="s">
        <v>1</v>
      </c>
      <c r="AM598" t="s">
        <v>1</v>
      </c>
      <c r="AN598" t="s">
        <v>1</v>
      </c>
      <c r="AO598" t="s">
        <v>1</v>
      </c>
      <c r="AP598" t="s">
        <v>1</v>
      </c>
      <c r="AQ598" t="s">
        <v>1</v>
      </c>
      <c r="AR598" t="s">
        <v>1</v>
      </c>
      <c r="AS598" t="s">
        <v>1</v>
      </c>
      <c r="AT598" t="s">
        <v>1</v>
      </c>
      <c r="AU598" t="s">
        <v>1</v>
      </c>
      <c r="AV598" t="s">
        <v>1</v>
      </c>
      <c r="AW598" t="s">
        <v>1</v>
      </c>
      <c r="AX598" t="s">
        <v>1</v>
      </c>
      <c r="AY598" t="s">
        <v>1</v>
      </c>
      <c r="AZ598" t="s">
        <v>1</v>
      </c>
      <c r="BA598" t="s">
        <v>1</v>
      </c>
      <c r="BD598" t="s">
        <v>1</v>
      </c>
      <c r="BE598" t="s">
        <v>1</v>
      </c>
      <c r="BF598" t="s">
        <v>1</v>
      </c>
      <c r="BG598" t="s">
        <v>1</v>
      </c>
      <c r="BH598" t="s">
        <v>1</v>
      </c>
      <c r="BI598" t="s">
        <v>1</v>
      </c>
      <c r="BJ598" t="s">
        <v>1</v>
      </c>
      <c r="BK598" t="s">
        <v>1</v>
      </c>
      <c r="BL598" t="s">
        <v>1</v>
      </c>
      <c r="BM598" t="s">
        <v>1</v>
      </c>
      <c r="BN598" t="s">
        <v>1</v>
      </c>
      <c r="BO598" t="s">
        <v>1</v>
      </c>
      <c r="BP598" t="s">
        <v>1</v>
      </c>
      <c r="BQ598" t="s">
        <v>1</v>
      </c>
      <c r="BR598" t="s">
        <v>1</v>
      </c>
      <c r="BS598" t="s">
        <v>1</v>
      </c>
      <c r="BT598" t="s">
        <v>1</v>
      </c>
      <c r="BU598" t="s">
        <v>1</v>
      </c>
      <c r="BV598" t="s">
        <v>1</v>
      </c>
      <c r="BW598" t="s">
        <v>1</v>
      </c>
      <c r="BX598" t="s">
        <v>1</v>
      </c>
      <c r="BY598" t="s">
        <v>1</v>
      </c>
      <c r="BZ598" t="s">
        <v>1</v>
      </c>
      <c r="CA598" t="s">
        <v>1</v>
      </c>
      <c r="CB598" t="s">
        <v>1</v>
      </c>
      <c r="CC598" t="s">
        <v>1</v>
      </c>
      <c r="CD598" t="s">
        <v>1</v>
      </c>
      <c r="CE598" t="s">
        <v>1</v>
      </c>
      <c r="CF598" t="s">
        <v>1</v>
      </c>
      <c r="CG598" t="s">
        <v>1</v>
      </c>
      <c r="CH598" t="s">
        <v>1</v>
      </c>
      <c r="CI598" t="s">
        <v>1</v>
      </c>
      <c r="CJ598" t="s">
        <v>1</v>
      </c>
      <c r="CK598" t="s">
        <v>1</v>
      </c>
      <c r="CL598" t="s">
        <v>1</v>
      </c>
      <c r="CM598" t="s">
        <v>1</v>
      </c>
      <c r="CN598" t="s">
        <v>1</v>
      </c>
      <c r="CO598" t="s">
        <v>1</v>
      </c>
      <c r="CP598" s="4" t="s">
        <v>1</v>
      </c>
      <c r="CQ598" s="4" t="s">
        <v>1</v>
      </c>
      <c r="CR598" s="4" t="s">
        <v>1</v>
      </c>
      <c r="CS598" s="4" t="s">
        <v>1</v>
      </c>
      <c r="CT598" s="4" t="s">
        <v>1</v>
      </c>
      <c r="CU598" s="4" t="s">
        <v>1</v>
      </c>
      <c r="CV598" t="s">
        <v>1</v>
      </c>
      <c r="CW598" t="s">
        <v>1</v>
      </c>
      <c r="CX598" t="s">
        <v>1</v>
      </c>
      <c r="CY598" t="s">
        <v>1</v>
      </c>
      <c r="CZ598" t="s">
        <v>1</v>
      </c>
      <c r="DA598" t="s">
        <v>1</v>
      </c>
      <c r="DB598" t="s">
        <v>1</v>
      </c>
      <c r="DC598" t="s">
        <v>1</v>
      </c>
      <c r="DD598" t="s">
        <v>1</v>
      </c>
      <c r="DE598" t="s">
        <v>1</v>
      </c>
      <c r="DF598" t="s">
        <v>1</v>
      </c>
      <c r="DG598" t="s">
        <v>1</v>
      </c>
      <c r="DH598" t="s">
        <v>1</v>
      </c>
      <c r="DI598" t="s">
        <v>1</v>
      </c>
      <c r="DJ598" t="s">
        <v>1</v>
      </c>
      <c r="DK598" t="s">
        <v>1</v>
      </c>
      <c r="DL598" t="s">
        <v>1</v>
      </c>
      <c r="DM598" t="s">
        <v>1</v>
      </c>
      <c r="DN598" t="s">
        <v>1</v>
      </c>
      <c r="DO598" t="s">
        <v>1</v>
      </c>
      <c r="DP598" t="s">
        <v>1</v>
      </c>
      <c r="DQ598" t="s">
        <v>1</v>
      </c>
      <c r="DR598" t="s">
        <v>1</v>
      </c>
      <c r="DS598" t="s">
        <v>1</v>
      </c>
      <c r="DT598" t="s">
        <v>1</v>
      </c>
      <c r="DU598" t="s">
        <v>1</v>
      </c>
      <c r="DV598" t="s">
        <v>1</v>
      </c>
      <c r="DW598" t="s">
        <v>1</v>
      </c>
      <c r="DX598" t="s">
        <v>1</v>
      </c>
      <c r="DY598" t="s">
        <v>1</v>
      </c>
      <c r="DZ598" t="s">
        <v>1</v>
      </c>
      <c r="EA598" t="s">
        <v>1</v>
      </c>
      <c r="EB598" t="s">
        <v>1</v>
      </c>
      <c r="EC598" t="s">
        <v>1</v>
      </c>
      <c r="ED598" t="s">
        <v>1</v>
      </c>
      <c r="EE598" t="s">
        <v>1</v>
      </c>
      <c r="EG598" t="s">
        <v>1</v>
      </c>
      <c r="EH598" t="s">
        <v>1</v>
      </c>
      <c r="EI598" t="s">
        <v>1</v>
      </c>
      <c r="EJ598" t="s">
        <v>1</v>
      </c>
      <c r="EK598" t="s">
        <v>1</v>
      </c>
      <c r="EL598" t="s">
        <v>1</v>
      </c>
      <c r="EM598" t="s">
        <v>1</v>
      </c>
      <c r="EN598" t="s">
        <v>1</v>
      </c>
      <c r="EO598" t="s">
        <v>1</v>
      </c>
      <c r="EP598" t="s">
        <v>1</v>
      </c>
      <c r="EQ598" t="s">
        <v>1</v>
      </c>
      <c r="ER598" t="s">
        <v>1</v>
      </c>
      <c r="ES598" t="s">
        <v>1</v>
      </c>
      <c r="ET598" t="s">
        <v>1</v>
      </c>
      <c r="EU598" t="s">
        <v>1</v>
      </c>
      <c r="EV598" t="s">
        <v>1</v>
      </c>
      <c r="EW598" t="s">
        <v>1</v>
      </c>
      <c r="EX598" t="s">
        <v>1</v>
      </c>
      <c r="EY598" t="s">
        <v>1</v>
      </c>
      <c r="EZ598" t="s">
        <v>1</v>
      </c>
      <c r="FA598" t="s">
        <v>1</v>
      </c>
      <c r="FB598" t="s">
        <v>1</v>
      </c>
      <c r="FC598" t="s">
        <v>1</v>
      </c>
      <c r="FD598" t="s">
        <v>1</v>
      </c>
      <c r="FE598" t="s">
        <v>1</v>
      </c>
      <c r="FF598" t="s">
        <v>1</v>
      </c>
      <c r="FG598" t="s">
        <v>1</v>
      </c>
      <c r="FH598" t="s">
        <v>1</v>
      </c>
      <c r="FI598" t="s">
        <v>1</v>
      </c>
      <c r="FJ598" t="s">
        <v>1</v>
      </c>
      <c r="FK598" t="s">
        <v>1</v>
      </c>
      <c r="FL598" t="s">
        <v>1</v>
      </c>
      <c r="FM598" t="s">
        <v>1</v>
      </c>
      <c r="FN598" t="s">
        <v>1</v>
      </c>
      <c r="FO598" t="s">
        <v>1</v>
      </c>
      <c r="FP598" t="s">
        <v>1</v>
      </c>
      <c r="FQ598" t="s">
        <v>1</v>
      </c>
      <c r="FR598" t="s">
        <v>1</v>
      </c>
      <c r="FS598" t="s">
        <v>1</v>
      </c>
      <c r="FT598" t="s">
        <v>1</v>
      </c>
      <c r="FU598" t="s">
        <v>1</v>
      </c>
      <c r="FV598" t="s">
        <v>1</v>
      </c>
      <c r="FW598" t="s">
        <v>1</v>
      </c>
      <c r="FX598" t="s">
        <v>1</v>
      </c>
      <c r="FY598" t="s">
        <v>1</v>
      </c>
      <c r="FZ598" t="s">
        <v>1</v>
      </c>
      <c r="GA598" t="s">
        <v>1</v>
      </c>
      <c r="GB598" t="s">
        <v>1</v>
      </c>
      <c r="GC598" t="s">
        <v>1</v>
      </c>
      <c r="GD598" t="s">
        <v>1</v>
      </c>
      <c r="GE598" t="s">
        <v>1</v>
      </c>
      <c r="GF598" t="s">
        <v>1</v>
      </c>
      <c r="GG598" t="s">
        <v>1</v>
      </c>
      <c r="GH598" t="s">
        <v>1</v>
      </c>
      <c r="GI598" t="s">
        <v>1</v>
      </c>
      <c r="GJ598" t="s">
        <v>1</v>
      </c>
      <c r="GK598" t="s">
        <v>1</v>
      </c>
      <c r="GL598" t="s">
        <v>1</v>
      </c>
      <c r="GM598" t="s">
        <v>1</v>
      </c>
      <c r="GN598" t="s">
        <v>1</v>
      </c>
      <c r="GO598" t="s">
        <v>1</v>
      </c>
      <c r="GP598" t="s">
        <v>1</v>
      </c>
      <c r="GQ598" t="s">
        <v>1</v>
      </c>
      <c r="GR598" t="s">
        <v>1</v>
      </c>
      <c r="GS598" t="s">
        <v>1</v>
      </c>
      <c r="GT598" t="s">
        <v>1</v>
      </c>
      <c r="GU598" t="s">
        <v>1</v>
      </c>
      <c r="GV598" t="s">
        <v>1</v>
      </c>
      <c r="GW598" t="s">
        <v>1</v>
      </c>
      <c r="GX598" t="s">
        <v>1</v>
      </c>
      <c r="GY598" t="s">
        <v>1</v>
      </c>
      <c r="GZ598" t="s">
        <v>1</v>
      </c>
      <c r="HA598" t="s">
        <v>1</v>
      </c>
      <c r="HB598" t="s">
        <v>1</v>
      </c>
      <c r="HC598" t="s">
        <v>1</v>
      </c>
      <c r="HD598" t="s">
        <v>1</v>
      </c>
      <c r="HE598" t="s">
        <v>1</v>
      </c>
      <c r="HF598" t="s">
        <v>1</v>
      </c>
      <c r="HG598" t="s">
        <v>1</v>
      </c>
      <c r="HH598" t="s">
        <v>1</v>
      </c>
      <c r="HI598" t="s">
        <v>1</v>
      </c>
      <c r="HJ598" t="s">
        <v>1</v>
      </c>
      <c r="HK598" t="s">
        <v>1</v>
      </c>
      <c r="HL598" t="s">
        <v>1</v>
      </c>
      <c r="HM598" t="s">
        <v>1</v>
      </c>
      <c r="HN598" t="s">
        <v>1</v>
      </c>
      <c r="HO598" t="s">
        <v>1</v>
      </c>
      <c r="HP598" t="s">
        <v>1</v>
      </c>
      <c r="HQ598" t="s">
        <v>1</v>
      </c>
      <c r="HR598" t="s">
        <v>1</v>
      </c>
      <c r="HS598" t="s">
        <v>1</v>
      </c>
      <c r="HT598" t="s">
        <v>1</v>
      </c>
      <c r="HU598" t="s">
        <v>1</v>
      </c>
      <c r="HV598" t="s">
        <v>1</v>
      </c>
      <c r="HW598" t="s">
        <v>1</v>
      </c>
      <c r="HX598" t="s">
        <v>1</v>
      </c>
      <c r="HY598" t="s">
        <v>1</v>
      </c>
      <c r="HZ598" t="s">
        <v>1</v>
      </c>
      <c r="IA598" t="s">
        <v>1</v>
      </c>
      <c r="IB598" t="s">
        <v>1</v>
      </c>
      <c r="IC598" t="s">
        <v>1</v>
      </c>
      <c r="ID598" t="s">
        <v>1</v>
      </c>
      <c r="IE598" t="s">
        <v>1</v>
      </c>
      <c r="IF598" t="s">
        <v>1</v>
      </c>
      <c r="IG598" t="s">
        <v>1</v>
      </c>
      <c r="IH598" t="s">
        <v>1</v>
      </c>
      <c r="II598" t="s">
        <v>1</v>
      </c>
      <c r="IJ598" t="s">
        <v>1</v>
      </c>
      <c r="IK598" t="s">
        <v>1</v>
      </c>
      <c r="IL598" t="s">
        <v>1</v>
      </c>
      <c r="IM598" t="s">
        <v>1</v>
      </c>
      <c r="IN598" t="s">
        <v>1</v>
      </c>
      <c r="IO598" t="s">
        <v>1</v>
      </c>
      <c r="IP598" t="s">
        <v>1</v>
      </c>
      <c r="IQ598" t="s">
        <v>1</v>
      </c>
      <c r="IR598" t="s">
        <v>1</v>
      </c>
      <c r="IS598" t="s">
        <v>1</v>
      </c>
      <c r="IT598" t="s">
        <v>1</v>
      </c>
      <c r="IU598" t="s">
        <v>1</v>
      </c>
      <c r="IV598" t="s">
        <v>1</v>
      </c>
      <c r="IW598" t="s">
        <v>1</v>
      </c>
      <c r="IX598" t="s">
        <v>1</v>
      </c>
      <c r="IY598" t="s">
        <v>1</v>
      </c>
      <c r="IZ598" t="s">
        <v>1</v>
      </c>
      <c r="JA598" t="s">
        <v>1</v>
      </c>
      <c r="JB598" t="s">
        <v>1</v>
      </c>
      <c r="JC598" t="s">
        <v>1</v>
      </c>
      <c r="JD598" t="s">
        <v>1</v>
      </c>
      <c r="JE598" t="s">
        <v>1</v>
      </c>
      <c r="JF598" t="s">
        <v>1</v>
      </c>
      <c r="JG598" t="s">
        <v>1</v>
      </c>
      <c r="JH598" t="s">
        <v>1</v>
      </c>
      <c r="JI598" t="s">
        <v>1</v>
      </c>
      <c r="JJ598" t="s">
        <v>1</v>
      </c>
      <c r="JK598" t="s">
        <v>1</v>
      </c>
      <c r="JL598" t="s">
        <v>1</v>
      </c>
      <c r="JM598" t="s">
        <v>1</v>
      </c>
      <c r="JN598" t="s">
        <v>1</v>
      </c>
      <c r="JO598" t="s">
        <v>1</v>
      </c>
      <c r="JP598" t="s">
        <v>1</v>
      </c>
      <c r="JQ598" t="s">
        <v>1</v>
      </c>
      <c r="JR598" t="s">
        <v>1</v>
      </c>
      <c r="JS598" t="s">
        <v>1</v>
      </c>
      <c r="JT598" t="s">
        <v>1</v>
      </c>
      <c r="JU598" t="s">
        <v>1</v>
      </c>
      <c r="JV598" t="s">
        <v>1</v>
      </c>
      <c r="JW598" t="s">
        <v>1</v>
      </c>
      <c r="JX598" t="s">
        <v>1</v>
      </c>
      <c r="JY598" t="s">
        <v>1</v>
      </c>
      <c r="JZ598" t="s">
        <v>1</v>
      </c>
      <c r="KA598" t="s">
        <v>1</v>
      </c>
      <c r="KB598" t="s">
        <v>1</v>
      </c>
      <c r="KC598" t="s">
        <v>1</v>
      </c>
      <c r="KD598" t="s">
        <v>1</v>
      </c>
      <c r="KE598" t="s">
        <v>1</v>
      </c>
      <c r="KF598" t="s">
        <v>1</v>
      </c>
      <c r="KG598" t="s">
        <v>1</v>
      </c>
      <c r="KH598" t="s">
        <v>1</v>
      </c>
      <c r="KI598" t="s">
        <v>1</v>
      </c>
      <c r="KJ598" t="s">
        <v>1</v>
      </c>
      <c r="KK598" t="s">
        <v>1</v>
      </c>
    </row>
    <row r="599" spans="1:297" x14ac:dyDescent="0.2">
      <c r="A599" t="s">
        <v>1</v>
      </c>
      <c r="B599" t="s">
        <v>1</v>
      </c>
      <c r="C599" t="s">
        <v>1</v>
      </c>
      <c r="D599" t="s">
        <v>1</v>
      </c>
      <c r="E599" t="s">
        <v>1</v>
      </c>
      <c r="F599" t="s">
        <v>1</v>
      </c>
      <c r="G599" t="s">
        <v>1</v>
      </c>
      <c r="H599" t="s">
        <v>1</v>
      </c>
      <c r="I599" t="s">
        <v>1</v>
      </c>
      <c r="J599" t="s">
        <v>1</v>
      </c>
      <c r="K599" t="s">
        <v>1</v>
      </c>
      <c r="L599" t="s">
        <v>1</v>
      </c>
      <c r="M599" t="s">
        <v>1</v>
      </c>
      <c r="N599" t="s">
        <v>1</v>
      </c>
      <c r="O599" t="s">
        <v>1</v>
      </c>
      <c r="P599" t="s">
        <v>1</v>
      </c>
      <c r="Q599" t="s">
        <v>1</v>
      </c>
      <c r="R599" t="s">
        <v>1</v>
      </c>
      <c r="S599" t="s">
        <v>1</v>
      </c>
      <c r="T599" t="s">
        <v>1</v>
      </c>
      <c r="U599" t="s">
        <v>1</v>
      </c>
      <c r="V599" t="s">
        <v>1</v>
      </c>
      <c r="W599" t="s">
        <v>1</v>
      </c>
      <c r="X599" t="s">
        <v>1</v>
      </c>
      <c r="Y599" t="s">
        <v>1</v>
      </c>
      <c r="Z599" t="s">
        <v>1</v>
      </c>
      <c r="AA599" t="s">
        <v>1</v>
      </c>
      <c r="AB599" t="s">
        <v>1</v>
      </c>
      <c r="AC599" t="s">
        <v>1</v>
      </c>
      <c r="AD599" t="s">
        <v>1</v>
      </c>
      <c r="AE599" t="s">
        <v>1</v>
      </c>
      <c r="AF599" t="s">
        <v>1</v>
      </c>
      <c r="AG599" t="s">
        <v>1</v>
      </c>
      <c r="AH599" t="s">
        <v>1</v>
      </c>
      <c r="AI599" t="s">
        <v>1</v>
      </c>
      <c r="AJ599" t="s">
        <v>1</v>
      </c>
      <c r="AK599" t="s">
        <v>1</v>
      </c>
      <c r="AL599" t="s">
        <v>1</v>
      </c>
      <c r="AM599" t="s">
        <v>1</v>
      </c>
      <c r="AN599" t="s">
        <v>1</v>
      </c>
      <c r="AO599" t="s">
        <v>1</v>
      </c>
      <c r="AP599" t="s">
        <v>1</v>
      </c>
      <c r="AQ599" t="s">
        <v>1</v>
      </c>
      <c r="AR599" t="s">
        <v>1</v>
      </c>
      <c r="AS599" t="s">
        <v>1</v>
      </c>
      <c r="AT599" t="s">
        <v>1</v>
      </c>
      <c r="AU599" t="s">
        <v>1</v>
      </c>
      <c r="AV599" t="s">
        <v>1</v>
      </c>
      <c r="AW599" t="s">
        <v>1</v>
      </c>
      <c r="AX599" t="s">
        <v>1</v>
      </c>
      <c r="AY599" t="s">
        <v>1</v>
      </c>
      <c r="AZ599" t="s">
        <v>1</v>
      </c>
      <c r="BA599" t="s">
        <v>1</v>
      </c>
      <c r="BD599" t="s">
        <v>1</v>
      </c>
      <c r="BE599" t="s">
        <v>1</v>
      </c>
      <c r="BF599" t="s">
        <v>1</v>
      </c>
      <c r="BG599" t="s">
        <v>1</v>
      </c>
      <c r="BH599" t="s">
        <v>1</v>
      </c>
      <c r="BI599" t="s">
        <v>1</v>
      </c>
      <c r="BJ599" t="s">
        <v>1</v>
      </c>
      <c r="BK599" t="s">
        <v>1</v>
      </c>
      <c r="BL599" t="s">
        <v>1</v>
      </c>
      <c r="BM599" t="s">
        <v>1</v>
      </c>
      <c r="BN599" t="s">
        <v>1</v>
      </c>
      <c r="BO599" t="s">
        <v>1</v>
      </c>
      <c r="BP599" t="s">
        <v>1</v>
      </c>
      <c r="BQ599" t="s">
        <v>1</v>
      </c>
      <c r="BR599" t="s">
        <v>1</v>
      </c>
      <c r="BS599" t="s">
        <v>1</v>
      </c>
      <c r="BT599" t="s">
        <v>1</v>
      </c>
      <c r="BU599" t="s">
        <v>1</v>
      </c>
      <c r="BV599" t="s">
        <v>1</v>
      </c>
      <c r="BW599" t="s">
        <v>1</v>
      </c>
      <c r="BX599" t="s">
        <v>1</v>
      </c>
      <c r="BY599" t="s">
        <v>1</v>
      </c>
      <c r="BZ599" t="s">
        <v>1</v>
      </c>
      <c r="CA599" t="s">
        <v>1</v>
      </c>
      <c r="CB599" t="s">
        <v>1</v>
      </c>
      <c r="CC599" t="s">
        <v>1</v>
      </c>
      <c r="CD599" t="s">
        <v>1</v>
      </c>
      <c r="CE599" t="s">
        <v>1</v>
      </c>
      <c r="CF599" t="s">
        <v>1</v>
      </c>
      <c r="CG599" t="s">
        <v>1</v>
      </c>
      <c r="CH599" t="s">
        <v>1</v>
      </c>
      <c r="CI599" t="s">
        <v>1</v>
      </c>
      <c r="CJ599" t="s">
        <v>1</v>
      </c>
      <c r="CK599" t="s">
        <v>1</v>
      </c>
      <c r="CL599" t="s">
        <v>1</v>
      </c>
      <c r="CM599" t="s">
        <v>1</v>
      </c>
      <c r="CN599" t="s">
        <v>1</v>
      </c>
      <c r="CO599" t="s">
        <v>1</v>
      </c>
      <c r="CP599" s="4" t="s">
        <v>1</v>
      </c>
      <c r="CQ599" s="4" t="s">
        <v>1</v>
      </c>
      <c r="CR599" s="4" t="s">
        <v>1</v>
      </c>
      <c r="CS599" s="4" t="s">
        <v>1</v>
      </c>
      <c r="CT599" s="4" t="s">
        <v>1</v>
      </c>
      <c r="CU599" s="4" t="s">
        <v>1</v>
      </c>
      <c r="CV599" t="s">
        <v>1</v>
      </c>
      <c r="CW599" t="s">
        <v>1</v>
      </c>
      <c r="CX599" t="s">
        <v>1</v>
      </c>
      <c r="CY599" t="s">
        <v>1</v>
      </c>
      <c r="CZ599" t="s">
        <v>1</v>
      </c>
      <c r="DA599" t="s">
        <v>1</v>
      </c>
      <c r="DB599" t="s">
        <v>1</v>
      </c>
      <c r="DC599" t="s">
        <v>1</v>
      </c>
      <c r="DD599" t="s">
        <v>1</v>
      </c>
      <c r="DE599" t="s">
        <v>1</v>
      </c>
      <c r="DF599" t="s">
        <v>1</v>
      </c>
      <c r="DG599" t="s">
        <v>1</v>
      </c>
      <c r="DH599" t="s">
        <v>1</v>
      </c>
      <c r="DI599" t="s">
        <v>1</v>
      </c>
      <c r="DJ599" t="s">
        <v>1</v>
      </c>
      <c r="DK599" t="s">
        <v>1</v>
      </c>
      <c r="DL599" t="s">
        <v>1</v>
      </c>
      <c r="DM599" t="s">
        <v>1</v>
      </c>
      <c r="DN599" t="s">
        <v>1</v>
      </c>
      <c r="DO599" t="s">
        <v>1</v>
      </c>
      <c r="DP599" t="s">
        <v>1</v>
      </c>
      <c r="DQ599" t="s">
        <v>1</v>
      </c>
      <c r="DR599" t="s">
        <v>1</v>
      </c>
      <c r="DS599" t="s">
        <v>1</v>
      </c>
      <c r="DT599" t="s">
        <v>1</v>
      </c>
      <c r="DU599" t="s">
        <v>1</v>
      </c>
      <c r="DV599" t="s">
        <v>1</v>
      </c>
      <c r="DW599" t="s">
        <v>1</v>
      </c>
      <c r="DX599" t="s">
        <v>1</v>
      </c>
      <c r="DY599" t="s">
        <v>1</v>
      </c>
      <c r="DZ599" t="s">
        <v>1</v>
      </c>
      <c r="EA599" t="s">
        <v>1</v>
      </c>
      <c r="EB599" t="s">
        <v>1</v>
      </c>
      <c r="EC599" t="s">
        <v>1</v>
      </c>
      <c r="ED599" t="s">
        <v>1</v>
      </c>
      <c r="EE599" t="s">
        <v>1</v>
      </c>
      <c r="EG599" t="s">
        <v>1</v>
      </c>
      <c r="EH599" t="s">
        <v>1</v>
      </c>
      <c r="EI599" t="s">
        <v>1</v>
      </c>
      <c r="EJ599" t="s">
        <v>1</v>
      </c>
      <c r="EK599" t="s">
        <v>1</v>
      </c>
      <c r="EL599" t="s">
        <v>1</v>
      </c>
      <c r="EM599" t="s">
        <v>1</v>
      </c>
      <c r="EN599" t="s">
        <v>1</v>
      </c>
      <c r="EO599" t="s">
        <v>1</v>
      </c>
      <c r="EP599" t="s">
        <v>1</v>
      </c>
      <c r="EQ599" t="s">
        <v>1</v>
      </c>
      <c r="ER599" t="s">
        <v>1</v>
      </c>
      <c r="ES599" t="s">
        <v>1</v>
      </c>
      <c r="ET599" t="s">
        <v>1</v>
      </c>
      <c r="EU599" t="s">
        <v>1</v>
      </c>
      <c r="EV599" t="s">
        <v>1</v>
      </c>
      <c r="EW599" t="s">
        <v>1</v>
      </c>
      <c r="EX599" t="s">
        <v>1</v>
      </c>
      <c r="EY599" t="s">
        <v>1</v>
      </c>
      <c r="EZ599" t="s">
        <v>1</v>
      </c>
      <c r="FA599" t="s">
        <v>1</v>
      </c>
      <c r="FB599" t="s">
        <v>1</v>
      </c>
      <c r="FC599" t="s">
        <v>1</v>
      </c>
      <c r="FD599" t="s">
        <v>1</v>
      </c>
      <c r="FE599" t="s">
        <v>1</v>
      </c>
      <c r="FF599" t="s">
        <v>1</v>
      </c>
      <c r="FG599" t="s">
        <v>1</v>
      </c>
      <c r="FH599" t="s">
        <v>1</v>
      </c>
      <c r="FI599" t="s">
        <v>1</v>
      </c>
      <c r="FJ599" t="s">
        <v>1</v>
      </c>
      <c r="FK599" t="s">
        <v>1</v>
      </c>
      <c r="FL599" t="s">
        <v>1</v>
      </c>
      <c r="FM599" t="s">
        <v>1</v>
      </c>
      <c r="FN599" t="s">
        <v>1</v>
      </c>
      <c r="FO599" t="s">
        <v>1</v>
      </c>
      <c r="FP599" t="s">
        <v>1</v>
      </c>
      <c r="FQ599" t="s">
        <v>1</v>
      </c>
      <c r="FR599" t="s">
        <v>1</v>
      </c>
      <c r="FS599" t="s">
        <v>1</v>
      </c>
      <c r="FT599" t="s">
        <v>1</v>
      </c>
      <c r="FU599" t="s">
        <v>1</v>
      </c>
      <c r="FV599" t="s">
        <v>1</v>
      </c>
      <c r="FW599" t="s">
        <v>1</v>
      </c>
      <c r="FX599" t="s">
        <v>1</v>
      </c>
      <c r="FY599" t="s">
        <v>1</v>
      </c>
      <c r="FZ599" t="s">
        <v>1</v>
      </c>
      <c r="GA599" t="s">
        <v>1</v>
      </c>
      <c r="GB599" t="s">
        <v>1</v>
      </c>
      <c r="GC599" t="s">
        <v>1</v>
      </c>
      <c r="GD599" t="s">
        <v>1</v>
      </c>
      <c r="GE599" t="s">
        <v>1</v>
      </c>
      <c r="GF599" t="s">
        <v>1</v>
      </c>
      <c r="GG599" t="s">
        <v>1</v>
      </c>
      <c r="GH599" t="s">
        <v>1</v>
      </c>
      <c r="GI599" t="s">
        <v>1</v>
      </c>
      <c r="GJ599" t="s">
        <v>1</v>
      </c>
      <c r="GK599" t="s">
        <v>1</v>
      </c>
      <c r="GL599" t="s">
        <v>1</v>
      </c>
      <c r="GM599" t="s">
        <v>1</v>
      </c>
      <c r="GN599" t="s">
        <v>1</v>
      </c>
      <c r="GO599" t="s">
        <v>1</v>
      </c>
      <c r="GP599" t="s">
        <v>1</v>
      </c>
      <c r="GQ599" t="s">
        <v>1</v>
      </c>
      <c r="GR599" t="s">
        <v>1</v>
      </c>
      <c r="GS599" t="s">
        <v>1</v>
      </c>
      <c r="GT599" t="s">
        <v>1</v>
      </c>
      <c r="GU599" t="s">
        <v>1</v>
      </c>
      <c r="GV599" t="s">
        <v>1</v>
      </c>
      <c r="GW599" t="s">
        <v>1</v>
      </c>
      <c r="GX599" t="s">
        <v>1</v>
      </c>
      <c r="GY599" t="s">
        <v>1</v>
      </c>
      <c r="GZ599" t="s">
        <v>1</v>
      </c>
      <c r="HA599" t="s">
        <v>1</v>
      </c>
      <c r="HB599" t="s">
        <v>1</v>
      </c>
      <c r="HC599" t="s">
        <v>1</v>
      </c>
      <c r="HD599" t="s">
        <v>1</v>
      </c>
      <c r="HE599" t="s">
        <v>1</v>
      </c>
      <c r="HF599" t="s">
        <v>1</v>
      </c>
      <c r="HG599" t="s">
        <v>1</v>
      </c>
      <c r="HH599" t="s">
        <v>1</v>
      </c>
      <c r="HI599" t="s">
        <v>1</v>
      </c>
      <c r="HJ599" t="s">
        <v>1</v>
      </c>
      <c r="HK599" t="s">
        <v>1</v>
      </c>
      <c r="HL599" t="s">
        <v>1</v>
      </c>
      <c r="HM599" t="s">
        <v>1</v>
      </c>
      <c r="HN599" t="s">
        <v>1</v>
      </c>
      <c r="HO599" t="s">
        <v>1</v>
      </c>
      <c r="HP599" t="s">
        <v>1</v>
      </c>
      <c r="HQ599" t="s">
        <v>1</v>
      </c>
      <c r="HR599" t="s">
        <v>1</v>
      </c>
      <c r="HS599" t="s">
        <v>1</v>
      </c>
      <c r="HT599" t="s">
        <v>1</v>
      </c>
      <c r="HU599" t="s">
        <v>1</v>
      </c>
      <c r="HV599" t="s">
        <v>1</v>
      </c>
      <c r="HW599" t="s">
        <v>1</v>
      </c>
      <c r="HX599" t="s">
        <v>1</v>
      </c>
      <c r="HY599" t="s">
        <v>1</v>
      </c>
      <c r="HZ599" t="s">
        <v>1</v>
      </c>
      <c r="IA599" t="s">
        <v>1</v>
      </c>
      <c r="IB599" t="s">
        <v>1</v>
      </c>
      <c r="IC599" t="s">
        <v>1</v>
      </c>
      <c r="ID599" t="s">
        <v>1</v>
      </c>
      <c r="IE599" t="s">
        <v>1</v>
      </c>
      <c r="IF599" t="s">
        <v>1</v>
      </c>
      <c r="IG599" t="s">
        <v>1</v>
      </c>
      <c r="IH599" t="s">
        <v>1</v>
      </c>
      <c r="II599" t="s">
        <v>1</v>
      </c>
      <c r="IJ599" t="s">
        <v>1</v>
      </c>
      <c r="IK599" t="s">
        <v>1</v>
      </c>
      <c r="IL599" t="s">
        <v>1</v>
      </c>
      <c r="IM599" t="s">
        <v>1</v>
      </c>
      <c r="IN599" t="s">
        <v>1</v>
      </c>
      <c r="IO599" t="s">
        <v>1</v>
      </c>
      <c r="IP599" t="s">
        <v>1</v>
      </c>
      <c r="IQ599" t="s">
        <v>1</v>
      </c>
      <c r="IR599" t="s">
        <v>1</v>
      </c>
      <c r="IS599" t="s">
        <v>1</v>
      </c>
      <c r="IT599" t="s">
        <v>1</v>
      </c>
      <c r="IU599" t="s">
        <v>1</v>
      </c>
      <c r="IV599" t="s">
        <v>1</v>
      </c>
      <c r="IW599" t="s">
        <v>1</v>
      </c>
      <c r="IX599" t="s">
        <v>1</v>
      </c>
      <c r="IY599" t="s">
        <v>1</v>
      </c>
      <c r="IZ599" t="s">
        <v>1</v>
      </c>
      <c r="JA599" t="s">
        <v>1</v>
      </c>
      <c r="JB599" t="s">
        <v>1</v>
      </c>
      <c r="JC599" t="s">
        <v>1</v>
      </c>
      <c r="JD599" t="s">
        <v>1</v>
      </c>
      <c r="JE599" t="s">
        <v>1</v>
      </c>
      <c r="JF599" t="s">
        <v>1</v>
      </c>
      <c r="JG599" t="s">
        <v>1</v>
      </c>
      <c r="JH599" t="s">
        <v>1</v>
      </c>
      <c r="JI599" t="s">
        <v>1</v>
      </c>
      <c r="JJ599" t="s">
        <v>1</v>
      </c>
      <c r="JK599" t="s">
        <v>1</v>
      </c>
      <c r="JL599" t="s">
        <v>1</v>
      </c>
      <c r="JM599" t="s">
        <v>1</v>
      </c>
      <c r="JN599" t="s">
        <v>1</v>
      </c>
      <c r="JO599" t="s">
        <v>1</v>
      </c>
      <c r="JP599" t="s">
        <v>1</v>
      </c>
      <c r="JQ599" t="s">
        <v>1</v>
      </c>
      <c r="JR599" t="s">
        <v>1</v>
      </c>
      <c r="JS599" t="s">
        <v>1</v>
      </c>
      <c r="JT599" t="s">
        <v>1</v>
      </c>
      <c r="JU599" t="s">
        <v>1</v>
      </c>
      <c r="JV599" t="s">
        <v>1</v>
      </c>
      <c r="JW599" t="s">
        <v>1</v>
      </c>
      <c r="JX599" t="s">
        <v>1</v>
      </c>
      <c r="JY599" t="s">
        <v>1</v>
      </c>
      <c r="JZ599" t="s">
        <v>1</v>
      </c>
      <c r="KA599" t="s">
        <v>1</v>
      </c>
      <c r="KB599" t="s">
        <v>1</v>
      </c>
      <c r="KC599" t="s">
        <v>1</v>
      </c>
      <c r="KD599" t="s">
        <v>1</v>
      </c>
      <c r="KE599" t="s">
        <v>1</v>
      </c>
      <c r="KF599" t="s">
        <v>1</v>
      </c>
      <c r="KG599" t="s">
        <v>1</v>
      </c>
      <c r="KH599" t="s">
        <v>1</v>
      </c>
      <c r="KI599" t="s">
        <v>1</v>
      </c>
      <c r="KJ599" t="s">
        <v>1</v>
      </c>
      <c r="KK599" t="s">
        <v>1</v>
      </c>
    </row>
  </sheetData>
  <phoneticPr fontId="23" type="noConversion"/>
  <hyperlinks>
    <hyperlink ref="AV1" r:id="rId1" xr:uid="{1F684D51-ED91-497A-9894-DA62C3F9AD7D}"/>
  </hyperlinks>
  <pageMargins left="0.7" right="0.7" top="0.75" bottom="0.75" header="0.3" footer="0.3"/>
  <pageSetup paperSize="9" orientation="portrait" horizontalDpi="0" verticalDpi="0"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N_Leaching_Test_Data_9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Florian Payen</cp:lastModifiedBy>
  <dcterms:created xsi:type="dcterms:W3CDTF">2020-06-29T13:54:29Z</dcterms:created>
  <dcterms:modified xsi:type="dcterms:W3CDTF">2026-03-18T10:55:12Z</dcterms:modified>
</cp:coreProperties>
</file>